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0" windowHeight="8950" activeTab="0"/>
  </bookViews>
  <sheets>
    <sheet name="Rekapitulace stavby" sheetId="1" r:id="rId1"/>
    <sheet name="SO 02 - SO 02 Revitalizac..." sheetId="2" r:id="rId2"/>
    <sheet name="3a.4 - SO 3a - Úprava pos..." sheetId="3" r:id="rId3"/>
    <sheet name="3b.3 - SO 3b - Úprava kan..." sheetId="4" r:id="rId4"/>
    <sheet name="3c.5 - SO 3c - Úpravy děk..." sheetId="5" r:id="rId5"/>
  </sheets>
  <definedNames>
    <definedName name="_xlnm.Print_Titles" localSheetId="2">'3a.4 - SO 3a - Úprava pos...'!$124:$124</definedName>
    <definedName name="_xlnm.Print_Titles" localSheetId="3">'3b.3 - SO 3b - Úprava kan...'!$122:$122</definedName>
    <definedName name="_xlnm.Print_Titles" localSheetId="4">'3c.5 - SO 3c - Úpravy děk...'!$118:$118</definedName>
    <definedName name="_xlnm.Print_Titles" localSheetId="0">'Rekapitulace stavby'!$85:$85</definedName>
    <definedName name="_xlnm.Print_Titles" localSheetId="1">'SO 02 - SO 02 Revitalizac...'!$117:$117</definedName>
    <definedName name="_xlnm.Print_Area" localSheetId="2">'3a.4 - SO 3a - Úprava pos...'!$C$4:$Q$70,'3a.4 - SO 3a - Úprava pos...'!$C$76:$Q$108,'3a.4 - SO 3a - Úprava pos...'!$C$114:$Q$191</definedName>
    <definedName name="_xlnm.Print_Area" localSheetId="3">'3b.3 - SO 3b - Úprava kan...'!$C$4:$Q$70,'3b.3 - SO 3b - Úprava kan...'!$C$76:$Q$106,'3b.3 - SO 3b - Úprava kan...'!$C$112:$Q$158</definedName>
    <definedName name="_xlnm.Print_Area" localSheetId="4">'3c.5 - SO 3c - Úpravy děk...'!$C$4:$Q$70,'3c.5 - SO 3c - Úpravy děk...'!$C$76:$Q$102,'3c.5 - SO 3c - Úpravy děk...'!$C$108:$Q$135</definedName>
    <definedName name="_xlnm.Print_Area" localSheetId="0">'Rekapitulace stavby'!$C$4:$AP$70,'Rekapitulace stavby'!$C$76:$AP$108</definedName>
    <definedName name="_xlnm.Print_Area" localSheetId="1">'SO 02 - SO 02 Revitalizac...'!$C$4:$Q$70,'SO 02 - SO 02 Revitalizac...'!$C$76:$Q$101,'SO 02 - SO 02 Revitalizac...'!$C$107:$Q$129</definedName>
  </definedNames>
  <calcPr fullCalcOnLoad="1"/>
</workbook>
</file>

<file path=xl/sharedStrings.xml><?xml version="1.0" encoding="utf-8"?>
<sst xmlns="http://schemas.openxmlformats.org/spreadsheetml/2006/main" count="1990" uniqueCount="357">
  <si>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</si>
  <si>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</si>
  <si>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</si>
  <si>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</si>
  <si>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</si>
  <si>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</si>
  <si>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</si>
  <si>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</si>
  <si>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</si>
  <si>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</si>
  <si>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</si>
  <si>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</si>
  <si>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</si>
  <si>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</si>
  <si>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</si>
  <si>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130105 - MENDELU  - revitalizace objektu  Z</t>
  </si>
  <si>
    <t>0,1</t>
  </si>
  <si>
    <t>1</t>
  </si>
  <si>
    <t>Místo:</t>
  </si>
  <si>
    <t>BRNO</t>
  </si>
  <si>
    <t>Datum:</t>
  </si>
  <si>
    <t>30.05.2013</t>
  </si>
  <si>
    <t>10</t>
  </si>
  <si>
    <t>100</t>
  </si>
  <si>
    <t>Objednavatel:</t>
  </si>
  <si>
    <t>IČ:</t>
  </si>
  <si>
    <t>MENDELOVA  UNIVERZITA  V  BRNĚ</t>
  </si>
  <si>
    <t>DIČ:</t>
  </si>
  <si>
    <t>Zhotovitel:</t>
  </si>
  <si>
    <t>Vyplň údaj</t>
  </si>
  <si>
    <t>Projektant:</t>
  </si>
  <si>
    <t>ing.Helena Zámečníková Brno</t>
  </si>
  <si>
    <t>True</t>
  </si>
  <si>
    <t>Zpracovatel:</t>
  </si>
  <si>
    <t>Kepertová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</si>
  <si>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</si>
  <si>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</si>
  <si>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</si>
  <si>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</si>
  <si>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</si>
  <si>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</si>
  <si>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</si>
  <si>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</si>
  <si>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</si>
  <si>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</si>
  <si>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</si>
  <si>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</si>
  <si>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</si>
  <si>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</si>
  <si>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</si>
  <si>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</si>
  <si>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</si>
  <si>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</si>
  <si>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</si>
  <si>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</si>
  <si>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</si>
  <si>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</si>
  <si>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</si>
  <si>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</si>
  <si>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</si>
  <si>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</si>
  <si>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</si>
  <si>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</si>
  <si>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</si>
  <si>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</si>
  <si>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</si>
  <si>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</si>
  <si>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</si>
  <si>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</si>
  <si>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</si>
  <si>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</si>
  <si>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</si>
  <si>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</si>
  <si>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</si>
  <si>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</si>
  <si>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</si>
  <si>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</si>
  <si>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{2C46EA92-4A9B-4ECE-BA3F-1171F7FEBC89}</t>
  </si>
  <si>
    <t>{00000000-0000-0000-0000-000000000000}</t>
  </si>
  <si>
    <t>SO 02</t>
  </si>
  <si>
    <t>SO 02 Revitalizace střešních plášťů - ZTI</t>
  </si>
  <si>
    <t>{D0A46D15-A49E-46B2-835D-10DFEDBF4645}</t>
  </si>
  <si>
    <t>3a.4</t>
  </si>
  <si>
    <t>SO 3a - Úprava poslucháren a nová WC ve 2.NP - ZTI</t>
  </si>
  <si>
    <t>{893FD0A2-6CB5-45EC-96F4-BD58BDAC8E31}</t>
  </si>
  <si>
    <t>3b.3</t>
  </si>
  <si>
    <t>SO 3b - Úprava kanceláří a chodeb ve 2.NP - ZTI</t>
  </si>
  <si>
    <t>{5B7C2526-95DE-4372-90E8-96D046A3EC68}</t>
  </si>
  <si>
    <t>3c.5</t>
  </si>
  <si>
    <t>SO 3c - Úpravy děkanátu,nová střešní konstrukce a zasklení v chodbách ve2-3NP - ZTI</t>
  </si>
  <si>
    <t>{5DF43F65-6F65-4C7A-B150-96F6342CBEBE}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</si>
  <si>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</si>
  <si>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</si>
  <si>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</si>
  <si>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</si>
  <si>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</si>
  <si>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</si>
  <si>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</si>
  <si>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</si>
  <si>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</si>
  <si>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</si>
  <si>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</si>
  <si>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</si>
  <si>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</si>
  <si>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</si>
  <si>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</si>
  <si>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</si>
  <si>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</si>
  <si>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</si>
  <si>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</si>
  <si>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</si>
  <si>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</si>
  <si>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</si>
  <si>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02 - SO 02 Revitalizace střešních plášťů - ZTI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</si>
  <si>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</si>
  <si>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</si>
  <si>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</si>
  <si>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</si>
  <si>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</si>
  <si>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</si>
  <si>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</si>
  <si>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721 - Zdravotechnika - vnitřní kanalizace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</si>
  <si>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</si>
  <si>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</si>
  <si>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</si>
  <si>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</si>
  <si>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</si>
  <si>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</si>
  <si>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</si>
  <si>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</si>
  <si>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</si>
  <si>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</si>
  <si>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</si>
  <si>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</si>
  <si>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</si>
  <si>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</si>
  <si>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</si>
  <si>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</si>
  <si>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</si>
  <si>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</si>
  <si>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</si>
  <si>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</si>
  <si>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</si>
  <si>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</si>
  <si>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</si>
  <si>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</si>
  <si>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</si>
  <si>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</si>
  <si>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</si>
  <si>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721174063</t>
  </si>
  <si>
    <t>Potrubí kanalizační z PP větrací systém HT DN 110</t>
  </si>
  <si>
    <t>m</t>
  </si>
  <si>
    <t>16</t>
  </si>
  <si>
    <t>721273153</t>
  </si>
  <si>
    <t>Hlavice ventilační -odvětrávací komínek s integrovanou manžetou PVC   DN 110</t>
  </si>
  <si>
    <t>kus</t>
  </si>
  <si>
    <t>3</t>
  </si>
  <si>
    <t>998721203</t>
  </si>
  <si>
    <t>Přesun hmot procentní pro vnitřní kanalizace v objektech v do 24 m</t>
  </si>
  <si>
    <t>%</t>
  </si>
  <si>
    <t>VP - Vícepráce</t>
  </si>
  <si>
    <t>PN</t>
  </si>
  <si>
    <t>3a.4 - SO 3a - Úprava poslucháren a nová WC ve 2.NP - ZTI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</si>
  <si>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</si>
  <si>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</si>
  <si>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</si>
  <si>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</si>
  <si>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</si>
  <si>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</si>
  <si>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</si>
  <si>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644941111</t>
  </si>
  <si>
    <t>Osazování ventilačních mřížek velikosti do 150 x 150 mm</t>
  </si>
  <si>
    <t>4</t>
  </si>
  <si>
    <t>M</t>
  </si>
  <si>
    <t>553414100</t>
  </si>
  <si>
    <t>průvětrník mřížový s klapkami 15x15 cm</t>
  </si>
  <si>
    <t>8</t>
  </si>
  <si>
    <t>998011002</t>
  </si>
  <si>
    <t>Přesun hmot pro budovy zděné v do 12 m</t>
  </si>
  <si>
    <t>t</t>
  </si>
  <si>
    <t>721174005</t>
  </si>
  <si>
    <t>Potrubí kanalizační z PP svodné systém HT DN 100</t>
  </si>
  <si>
    <t>5</t>
  </si>
  <si>
    <t>721174024</t>
  </si>
  <si>
    <t>Potrubí kanalizační z PP odpadní systém HT DN 70</t>
  </si>
  <si>
    <t>6</t>
  </si>
  <si>
    <t>721174025</t>
  </si>
  <si>
    <t>Potrubí kanalizační z PP odpadní systém HT DN 100</t>
  </si>
  <si>
    <t>7</t>
  </si>
  <si>
    <t>721174042</t>
  </si>
  <si>
    <t>Potrubí kanalizační z PP připojovací systém HT DN 40</t>
  </si>
  <si>
    <t>721174043</t>
  </si>
  <si>
    <t>Potrubí kanalizační z PP připojovací systém HT DN 50</t>
  </si>
  <si>
    <t>9</t>
  </si>
  <si>
    <t>721174044</t>
  </si>
  <si>
    <t>Potrubí kanalizační z PP připojovací systém HT DN 70</t>
  </si>
  <si>
    <t>721174045</t>
  </si>
  <si>
    <t>Potrubí kanalizační z PP připojovací systém HT DN 100</t>
  </si>
  <si>
    <t>11</t>
  </si>
  <si>
    <t>12</t>
  </si>
  <si>
    <t>721194104</t>
  </si>
  <si>
    <t>Vyvedení a upevnění odpadních výpustek DN 40</t>
  </si>
  <si>
    <t>13</t>
  </si>
  <si>
    <t>721194105</t>
  </si>
  <si>
    <t>Vyvedení a upevnění odpadních výpustek DN 50</t>
  </si>
  <si>
    <t>14</t>
  </si>
  <si>
    <t>721194107</t>
  </si>
  <si>
    <t>Vyvedení a upevnění odpadních výpustek DN 70</t>
  </si>
  <si>
    <t>721194109</t>
  </si>
  <si>
    <t>Vyvedení a upevnění odpadních výpustek DN 100</t>
  </si>
  <si>
    <t>72122PC1</t>
  </si>
  <si>
    <t>Zápachová uzávěrka pro kondenzát HL 136 DN 32</t>
  </si>
  <si>
    <t>17</t>
  </si>
  <si>
    <t>721290111</t>
  </si>
  <si>
    <t>Zkouška těsnosti potrubí kanalizace vodou do DN 125</t>
  </si>
  <si>
    <t>18</t>
  </si>
  <si>
    <t>72129PC1</t>
  </si>
  <si>
    <t>Úpravy pro dopojení ke stávající kanalizaci</t>
  </si>
  <si>
    <t>soub</t>
  </si>
  <si>
    <t>19</t>
  </si>
  <si>
    <t>998721202</t>
  </si>
  <si>
    <t>Přesun hmot procentní pro vnitřní kanalizace v objektech v do 12 m</t>
  </si>
  <si>
    <t>20</t>
  </si>
  <si>
    <t>722171933</t>
  </si>
  <si>
    <t>Potrubí plastové výměna trub nebo tvarovek D do 25 mm</t>
  </si>
  <si>
    <t>722174022</t>
  </si>
  <si>
    <t>Potrubí vodovodní plastové PPR svar polyfuze PN 20 D 20 x 3,4 mm</t>
  </si>
  <si>
    <t>22</t>
  </si>
  <si>
    <t>722174023</t>
  </si>
  <si>
    <t>Potrubí vodovodní plastové PPR svar polyfuze PN 20 D 25 x 4,2 mm</t>
  </si>
  <si>
    <t>23</t>
  </si>
  <si>
    <t>722181241</t>
  </si>
  <si>
    <t>Ochrana vodovodního potrubí přilepenými tepelně izolačními trubicemi z PE tl do 20 mm DN do 22 mm</t>
  </si>
  <si>
    <t>24</t>
  </si>
  <si>
    <t>722181242</t>
  </si>
  <si>
    <t>Ochrana vodovodního potrubí přilepenými tepelně izolačními trubicemi z PE tl do 20 mm DN do 42 mm</t>
  </si>
  <si>
    <t>25</t>
  </si>
  <si>
    <t>72218PC1</t>
  </si>
  <si>
    <t>Montáž krycí lišty</t>
  </si>
  <si>
    <t>26</t>
  </si>
  <si>
    <t>286PC1</t>
  </si>
  <si>
    <t>lišta plastová krycí stoupačková bílá 100 mm l = 3000</t>
  </si>
  <si>
    <t>ks</t>
  </si>
  <si>
    <t>32</t>
  </si>
  <si>
    <t>27</t>
  </si>
  <si>
    <t>722190401</t>
  </si>
  <si>
    <t>Vyvedení a upevnění výpustku do DN 25</t>
  </si>
  <si>
    <t>28</t>
  </si>
  <si>
    <t>722190901</t>
  </si>
  <si>
    <t>Uzavření nebo otevření vodovodního potrubí při opravách</t>
  </si>
  <si>
    <t>29</t>
  </si>
  <si>
    <t>722290234</t>
  </si>
  <si>
    <t>Proplach a dezinfekce vodovodního potrubí do DN 80</t>
  </si>
  <si>
    <t>30</t>
  </si>
  <si>
    <t>72229PC1</t>
  </si>
  <si>
    <t>Propojení se stávajícím rozvodem vody,úpravy</t>
  </si>
  <si>
    <t>31</t>
  </si>
  <si>
    <t>998722202</t>
  </si>
  <si>
    <t>Přesun hmot procentní pro vnitřní vodovod v objektech v do 12 m</t>
  </si>
  <si>
    <t>725111131</t>
  </si>
  <si>
    <t>Splachovač nádržkový plastový vysokopoložený</t>
  </si>
  <si>
    <t>soubor</t>
  </si>
  <si>
    <t>33</t>
  </si>
  <si>
    <t>725112021</t>
  </si>
  <si>
    <t>Klozet keramický závěsný na nosné stěny s hlubokým splachováním odpad vodorovný</t>
  </si>
  <si>
    <t>34</t>
  </si>
  <si>
    <t>551673990</t>
  </si>
  <si>
    <t>sedátko klozetové duroplastové  bílé antibaktriální</t>
  </si>
  <si>
    <t>35</t>
  </si>
  <si>
    <t>551666120</t>
  </si>
  <si>
    <t>manžeta připojovací WC HL201 DN 110</t>
  </si>
  <si>
    <t>36</t>
  </si>
  <si>
    <t>551666240</t>
  </si>
  <si>
    <t>koleno odpadní PP pro závěsné WC HL224 WE DN110</t>
  </si>
  <si>
    <t>37</t>
  </si>
  <si>
    <t>725121527</t>
  </si>
  <si>
    <t>Pisoárový záchodek automatický s integrovaným napájecím zdrojem</t>
  </si>
  <si>
    <t>38</t>
  </si>
  <si>
    <t>725210821</t>
  </si>
  <si>
    <t>Demontáž umyvadel bez výtokových armatur</t>
  </si>
  <si>
    <t>39</t>
  </si>
  <si>
    <t>286542280</t>
  </si>
  <si>
    <t>záslepka PPR D 20 mm</t>
  </si>
  <si>
    <t>40</t>
  </si>
  <si>
    <t>286542300</t>
  </si>
  <si>
    <t>záslepka PPR D 25 mm</t>
  </si>
  <si>
    <t>41</t>
  </si>
  <si>
    <t>725211602</t>
  </si>
  <si>
    <t>Umyvadlo keramické připevněné na stěnu šrouby bílé bez krytu na sifon 550 mm</t>
  </si>
  <si>
    <t>42</t>
  </si>
  <si>
    <t>725331111</t>
  </si>
  <si>
    <t>Výlevka bez výtokových armatur keramická se sklopnou plastovou mřížkou 425 mm</t>
  </si>
  <si>
    <t>43</t>
  </si>
  <si>
    <t>725819401</t>
  </si>
  <si>
    <t>Montáž ventilů rohových G 1/2 s připojovací trubičkou</t>
  </si>
  <si>
    <t>44</t>
  </si>
  <si>
    <t>551456330</t>
  </si>
  <si>
    <t>ventil rohový mosazný 1/2" s připojovací trubičkou</t>
  </si>
  <si>
    <t>45</t>
  </si>
  <si>
    <t>725820801</t>
  </si>
  <si>
    <t>Demontáž baterie nástěnné do G 3 / 4</t>
  </si>
  <si>
    <t>46</t>
  </si>
  <si>
    <t>725821315</t>
  </si>
  <si>
    <t>Baterie dřezové nástěnné pákové s otáčivým plochým ústím a délkou ramínka 225 mm - výlevka</t>
  </si>
  <si>
    <t>47</t>
  </si>
  <si>
    <t>725822612</t>
  </si>
  <si>
    <t>Baterie umyvadlové stojánkové pákové s výpustí</t>
  </si>
  <si>
    <t>48</t>
  </si>
  <si>
    <t>725860811</t>
  </si>
  <si>
    <t>Demontáž uzávěrů zápachu jednoduchých</t>
  </si>
  <si>
    <t>49</t>
  </si>
  <si>
    <t>726111031</t>
  </si>
  <si>
    <t>Instalační předstěna - klozet s ovládáním zepředu v 1080 mm závěsný do masivní zděné kce</t>
  </si>
  <si>
    <t>50</t>
  </si>
  <si>
    <t>726191002</t>
  </si>
  <si>
    <t>Souprava pro předstěnovou montáž</t>
  </si>
  <si>
    <t>51</t>
  </si>
  <si>
    <t>998726212</t>
  </si>
  <si>
    <t>Přesun hmot procentní pro instalační prefabrikáty v objektech v do 12 m</t>
  </si>
  <si>
    <t>3b.3 - SO 3b - Úprava kanceláří a chodeb ve 2.NP - ZTI</t>
  </si>
  <si>
    <t>974031153</t>
  </si>
  <si>
    <t>Vysekání rýh ve zdivu cihelném hl do 100 mm š do 100 mm- zapravení stavba</t>
  </si>
  <si>
    <t>997013212</t>
  </si>
  <si>
    <t>Vnitrostaveništní doprava suti a vybouraných hmot pro budovy v do 9 m ručně</t>
  </si>
  <si>
    <t>997013509</t>
  </si>
  <si>
    <t>Příplatek k odvozu suti a vybouraných hmot na skládku ZKD 1 km přes 1 km</t>
  </si>
  <si>
    <t>997013511</t>
  </si>
  <si>
    <t>Odvoz suti a vybouraných hmot z meziskládky na skládku do 1 km s naložením a se složením</t>
  </si>
  <si>
    <t>997013803</t>
  </si>
  <si>
    <t>Poplatek za uložení stavebního odpadu z keramických materiálů na skládce (skládkovné)</t>
  </si>
  <si>
    <t>998721201</t>
  </si>
  <si>
    <t>Přesun hmot procentní pro vnitřní kanalizace v objektech v do 6 m</t>
  </si>
  <si>
    <t>722174912</t>
  </si>
  <si>
    <t>Potrubí plastové sestavení rozvodů D do 20 mm</t>
  </si>
  <si>
    <t>286151330</t>
  </si>
  <si>
    <t>trubka tlaková PPR řada PN 16 20 x 2,8 x 4000 mm</t>
  </si>
  <si>
    <t>72217PC2</t>
  </si>
  <si>
    <t>Potrubí plastové - zaslepení  D do 20 mm</t>
  </si>
  <si>
    <t>998722201</t>
  </si>
  <si>
    <t>Přesun hmot procentní pro vnitřní vodovod v objektech v do 6 m</t>
  </si>
  <si>
    <t>725210984</t>
  </si>
  <si>
    <t>Opravy umyvadel - odmontování rohového ventilu G 1/2</t>
  </si>
  <si>
    <t>725820802</t>
  </si>
  <si>
    <t>Demontáž baterie stojánkové do jednoho otvoru</t>
  </si>
  <si>
    <t>725862103</t>
  </si>
  <si>
    <t>Zápachová uzávěrka pro dřezy DN 40/50</t>
  </si>
  <si>
    <t>998725201</t>
  </si>
  <si>
    <t>Přesun hmot procentní pro zařizovací předměty v objektech v do 6 m</t>
  </si>
  <si>
    <t>3c.5 - SO 3c - Úpravy děkanátu,nová střešní konstrukce a zasklení v chodbách ve2-3NP - ZTI</t>
  </si>
  <si>
    <t>lišta plastová stoupačková krycí bílá 100 mm l = 3   mm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</si>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</sst>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D51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697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E6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60C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586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4D518.tmp" descr="C:\KROSplusData\System\Temp\rad4D51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26971.tmp" descr="C:\KROSplusData\System\Temp\rad269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BAE64.tmp" descr="C:\KROSplusData\System\Temp\radBAE6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D60C2.tmp" descr="C:\KROSplusData\System\Temp\radD60C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65865.tmp" descr="C:\KROSplusData\System\Temp\rad6586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1" t="s">
        <v>0</v>
      </c>
      <c r="B1" s="202"/>
      <c r="C1" s="202"/>
      <c r="D1" s="203" t="s">
        <v>1</v>
      </c>
      <c r="E1" s="202"/>
      <c r="F1" s="202"/>
      <c r="G1" s="202"/>
      <c r="H1" s="202"/>
      <c r="I1" s="202"/>
      <c r="J1" s="202"/>
      <c r="K1" s="204" t="s">
        <v>350</v>
      </c>
      <c r="L1" s="204"/>
      <c r="M1" s="204"/>
      <c r="N1" s="204"/>
      <c r="O1" s="204"/>
      <c r="P1" s="204"/>
      <c r="Q1" s="204"/>
      <c r="R1" s="204"/>
      <c r="S1" s="204"/>
      <c r="T1" s="202"/>
      <c r="U1" s="202"/>
      <c r="V1" s="202"/>
      <c r="W1" s="204" t="s">
        <v>351</v>
      </c>
      <c r="X1" s="204"/>
      <c r="Y1" s="204"/>
      <c r="Z1" s="204"/>
      <c r="AA1" s="204"/>
      <c r="AB1" s="204"/>
      <c r="AC1" s="204"/>
      <c r="AD1" s="204"/>
      <c r="AE1" s="204"/>
      <c r="AF1" s="204"/>
      <c r="AG1" s="202"/>
      <c r="AH1" s="20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39" t="s">
        <v>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R2" s="173" t="s">
        <v>5</v>
      </c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1" t="s">
        <v>9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42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45" t="s">
        <v>15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Q6" s="11"/>
      <c r="BE6" s="140"/>
      <c r="BS6" s="6" t="s">
        <v>16</v>
      </c>
    </row>
    <row r="7" spans="2:71" s="2" customFormat="1" ht="7.5" customHeight="1">
      <c r="B7" s="10"/>
      <c r="AQ7" s="11"/>
      <c r="BE7" s="140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40"/>
      <c r="BS8" s="6" t="s">
        <v>22</v>
      </c>
    </row>
    <row r="9" spans="2:71" s="2" customFormat="1" ht="15" customHeight="1">
      <c r="B9" s="10"/>
      <c r="AQ9" s="11"/>
      <c r="BE9" s="140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40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40"/>
      <c r="BS11" s="6" t="s">
        <v>16</v>
      </c>
    </row>
    <row r="12" spans="2:71" s="2" customFormat="1" ht="7.5" customHeight="1">
      <c r="B12" s="10"/>
      <c r="AQ12" s="11"/>
      <c r="BE12" s="140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40"/>
      <c r="BS13" s="6" t="s">
        <v>16</v>
      </c>
    </row>
    <row r="14" spans="2:71" s="2" customFormat="1" ht="15.75" customHeight="1">
      <c r="B14" s="10"/>
      <c r="E14" s="146" t="s">
        <v>29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5" t="s">
        <v>27</v>
      </c>
      <c r="AN14" s="18" t="s">
        <v>29</v>
      </c>
      <c r="AQ14" s="11"/>
      <c r="BE14" s="140"/>
      <c r="BS14" s="6" t="s">
        <v>16</v>
      </c>
    </row>
    <row r="15" spans="2:71" s="2" customFormat="1" ht="7.5" customHeight="1">
      <c r="B15" s="10"/>
      <c r="AQ15" s="11"/>
      <c r="BE15" s="140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140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27</v>
      </c>
      <c r="AN17" s="16"/>
      <c r="AQ17" s="11"/>
      <c r="BE17" s="140"/>
      <c r="BS17" s="6" t="s">
        <v>32</v>
      </c>
    </row>
    <row r="18" spans="2:71" s="2" customFormat="1" ht="7.5" customHeight="1">
      <c r="B18" s="10"/>
      <c r="AQ18" s="11"/>
      <c r="BE18" s="140"/>
      <c r="BS18" s="6" t="s">
        <v>6</v>
      </c>
    </row>
    <row r="19" spans="2:71" s="2" customFormat="1" ht="15" customHeight="1">
      <c r="B19" s="10"/>
      <c r="D19" s="15" t="s">
        <v>33</v>
      </c>
      <c r="AK19" s="15" t="s">
        <v>25</v>
      </c>
      <c r="AN19" s="16"/>
      <c r="AQ19" s="11"/>
      <c r="BE19" s="140"/>
      <c r="BS19" s="6" t="s">
        <v>16</v>
      </c>
    </row>
    <row r="20" spans="2:57" s="2" customFormat="1" ht="19.5" customHeight="1">
      <c r="B20" s="10"/>
      <c r="E20" s="16" t="s">
        <v>34</v>
      </c>
      <c r="AK20" s="15" t="s">
        <v>27</v>
      </c>
      <c r="AN20" s="16"/>
      <c r="AQ20" s="11"/>
      <c r="BE20" s="140"/>
    </row>
    <row r="21" spans="2:57" s="2" customFormat="1" ht="7.5" customHeight="1">
      <c r="B21" s="10"/>
      <c r="AQ21" s="11"/>
      <c r="BE21" s="140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40"/>
    </row>
    <row r="23" spans="2:57" s="2" customFormat="1" ht="15" customHeight="1">
      <c r="B23" s="10"/>
      <c r="D23" s="20" t="s">
        <v>35</v>
      </c>
      <c r="AK23" s="147">
        <f>ROUNDUP($AG$87,2)</f>
        <v>0</v>
      </c>
      <c r="AL23" s="140"/>
      <c r="AM23" s="140"/>
      <c r="AN23" s="140"/>
      <c r="AO23" s="140"/>
      <c r="AQ23" s="11"/>
      <c r="BE23" s="140"/>
    </row>
    <row r="24" spans="2:57" s="2" customFormat="1" ht="15" customHeight="1">
      <c r="B24" s="10"/>
      <c r="D24" s="20" t="s">
        <v>36</v>
      </c>
      <c r="AK24" s="147">
        <f>ROUNDUP($AG$93,2)</f>
        <v>0</v>
      </c>
      <c r="AL24" s="140"/>
      <c r="AM24" s="140"/>
      <c r="AN24" s="140"/>
      <c r="AO24" s="140"/>
      <c r="AQ24" s="11"/>
      <c r="BE24" s="140"/>
    </row>
    <row r="25" spans="2:57" s="6" customFormat="1" ht="7.5" customHeight="1">
      <c r="B25" s="21"/>
      <c r="AQ25" s="22"/>
      <c r="BE25" s="143"/>
    </row>
    <row r="26" spans="2:57" s="6" customFormat="1" ht="27" customHeight="1">
      <c r="B26" s="21"/>
      <c r="D26" s="23" t="s">
        <v>37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48">
        <f>ROUNDUP($AK$23+$AK$24,2)</f>
        <v>0</v>
      </c>
      <c r="AL26" s="149"/>
      <c r="AM26" s="149"/>
      <c r="AN26" s="149"/>
      <c r="AO26" s="149"/>
      <c r="AQ26" s="22"/>
      <c r="BE26" s="143"/>
    </row>
    <row r="27" spans="2:57" s="6" customFormat="1" ht="7.5" customHeight="1">
      <c r="B27" s="21"/>
      <c r="AQ27" s="22"/>
      <c r="BE27" s="143"/>
    </row>
    <row r="28" spans="2:57" s="6" customFormat="1" ht="15" customHeight="1">
      <c r="B28" s="25"/>
      <c r="D28" s="26" t="s">
        <v>38</v>
      </c>
      <c r="F28" s="26" t="s">
        <v>39</v>
      </c>
      <c r="L28" s="150">
        <v>0.21</v>
      </c>
      <c r="M28" s="144"/>
      <c r="N28" s="144"/>
      <c r="O28" s="144"/>
      <c r="T28" s="28" t="s">
        <v>40</v>
      </c>
      <c r="W28" s="151">
        <f>ROUNDUP($AZ$87+SUM($CD$94:$CD$107),2)</f>
        <v>0</v>
      </c>
      <c r="X28" s="144"/>
      <c r="Y28" s="144"/>
      <c r="Z28" s="144"/>
      <c r="AA28" s="144"/>
      <c r="AB28" s="144"/>
      <c r="AC28" s="144"/>
      <c r="AD28" s="144"/>
      <c r="AE28" s="144"/>
      <c r="AK28" s="151">
        <f>ROUNDUP($AV$87+SUM($BY$94:$BY$107),1)</f>
        <v>0</v>
      </c>
      <c r="AL28" s="144"/>
      <c r="AM28" s="144"/>
      <c r="AN28" s="144"/>
      <c r="AO28" s="144"/>
      <c r="AQ28" s="29"/>
      <c r="BE28" s="144"/>
    </row>
    <row r="29" spans="2:57" s="6" customFormat="1" ht="15" customHeight="1">
      <c r="B29" s="25"/>
      <c r="F29" s="26" t="s">
        <v>41</v>
      </c>
      <c r="L29" s="150">
        <v>0.15</v>
      </c>
      <c r="M29" s="144"/>
      <c r="N29" s="144"/>
      <c r="O29" s="144"/>
      <c r="T29" s="28" t="s">
        <v>40</v>
      </c>
      <c r="W29" s="151">
        <f>ROUNDUP($BA$87+SUM($CE$94:$CE$107),2)</f>
        <v>0</v>
      </c>
      <c r="X29" s="144"/>
      <c r="Y29" s="144"/>
      <c r="Z29" s="144"/>
      <c r="AA29" s="144"/>
      <c r="AB29" s="144"/>
      <c r="AC29" s="144"/>
      <c r="AD29" s="144"/>
      <c r="AE29" s="144"/>
      <c r="AK29" s="151">
        <f>ROUNDUP($AW$87+SUM($BZ$94:$BZ$107),1)</f>
        <v>0</v>
      </c>
      <c r="AL29" s="144"/>
      <c r="AM29" s="144"/>
      <c r="AN29" s="144"/>
      <c r="AO29" s="144"/>
      <c r="AQ29" s="29"/>
      <c r="BE29" s="144"/>
    </row>
    <row r="30" spans="2:57" s="6" customFormat="1" ht="15" customHeight="1" hidden="1">
      <c r="B30" s="25"/>
      <c r="F30" s="26" t="s">
        <v>42</v>
      </c>
      <c r="L30" s="150">
        <v>0.21</v>
      </c>
      <c r="M30" s="144"/>
      <c r="N30" s="144"/>
      <c r="O30" s="144"/>
      <c r="T30" s="28" t="s">
        <v>40</v>
      </c>
      <c r="W30" s="151">
        <f>ROUNDUP($BB$87+SUM($CF$94:$CF$107),2)</f>
        <v>0</v>
      </c>
      <c r="X30" s="144"/>
      <c r="Y30" s="144"/>
      <c r="Z30" s="144"/>
      <c r="AA30" s="144"/>
      <c r="AB30" s="144"/>
      <c r="AC30" s="144"/>
      <c r="AD30" s="144"/>
      <c r="AE30" s="144"/>
      <c r="AK30" s="151">
        <v>0</v>
      </c>
      <c r="AL30" s="144"/>
      <c r="AM30" s="144"/>
      <c r="AN30" s="144"/>
      <c r="AO30" s="144"/>
      <c r="AQ30" s="29"/>
      <c r="BE30" s="144"/>
    </row>
    <row r="31" spans="2:57" s="6" customFormat="1" ht="15" customHeight="1" hidden="1">
      <c r="B31" s="25"/>
      <c r="F31" s="26" t="s">
        <v>43</v>
      </c>
      <c r="L31" s="150">
        <v>0.15</v>
      </c>
      <c r="M31" s="144"/>
      <c r="N31" s="144"/>
      <c r="O31" s="144"/>
      <c r="T31" s="28" t="s">
        <v>40</v>
      </c>
      <c r="W31" s="151">
        <f>ROUNDUP($BC$87+SUM($CG$94:$CG$107),2)</f>
        <v>0</v>
      </c>
      <c r="X31" s="144"/>
      <c r="Y31" s="144"/>
      <c r="Z31" s="144"/>
      <c r="AA31" s="144"/>
      <c r="AB31" s="144"/>
      <c r="AC31" s="144"/>
      <c r="AD31" s="144"/>
      <c r="AE31" s="144"/>
      <c r="AK31" s="151">
        <v>0</v>
      </c>
      <c r="AL31" s="144"/>
      <c r="AM31" s="144"/>
      <c r="AN31" s="144"/>
      <c r="AO31" s="144"/>
      <c r="AQ31" s="29"/>
      <c r="BE31" s="144"/>
    </row>
    <row r="32" spans="2:57" s="6" customFormat="1" ht="15" customHeight="1" hidden="1">
      <c r="B32" s="25"/>
      <c r="F32" s="26" t="s">
        <v>44</v>
      </c>
      <c r="L32" s="150">
        <v>0</v>
      </c>
      <c r="M32" s="144"/>
      <c r="N32" s="144"/>
      <c r="O32" s="144"/>
      <c r="T32" s="28" t="s">
        <v>40</v>
      </c>
      <c r="W32" s="151">
        <f>ROUNDUP($BD$87+SUM($CH$94:$CH$107),2)</f>
        <v>0</v>
      </c>
      <c r="X32" s="144"/>
      <c r="Y32" s="144"/>
      <c r="Z32" s="144"/>
      <c r="AA32" s="144"/>
      <c r="AB32" s="144"/>
      <c r="AC32" s="144"/>
      <c r="AD32" s="144"/>
      <c r="AE32" s="144"/>
      <c r="AK32" s="151">
        <v>0</v>
      </c>
      <c r="AL32" s="144"/>
      <c r="AM32" s="144"/>
      <c r="AN32" s="144"/>
      <c r="AO32" s="144"/>
      <c r="AQ32" s="29"/>
      <c r="BE32" s="144"/>
    </row>
    <row r="33" spans="2:57" s="6" customFormat="1" ht="7.5" customHeight="1">
      <c r="B33" s="21"/>
      <c r="AQ33" s="22"/>
      <c r="BE33" s="143"/>
    </row>
    <row r="34" spans="2:57" s="6" customFormat="1" ht="27" customHeight="1">
      <c r="B34" s="21"/>
      <c r="C34" s="30"/>
      <c r="D34" s="31" t="s">
        <v>45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46</v>
      </c>
      <c r="U34" s="32"/>
      <c r="V34" s="32"/>
      <c r="W34" s="32"/>
      <c r="X34" s="152" t="s">
        <v>47</v>
      </c>
      <c r="Y34" s="153"/>
      <c r="Z34" s="153"/>
      <c r="AA34" s="153"/>
      <c r="AB34" s="153"/>
      <c r="AC34" s="32"/>
      <c r="AD34" s="32"/>
      <c r="AE34" s="32"/>
      <c r="AF34" s="32"/>
      <c r="AG34" s="32"/>
      <c r="AH34" s="32"/>
      <c r="AI34" s="32"/>
      <c r="AJ34" s="32"/>
      <c r="AK34" s="154">
        <f>ROUNDUP(SUM($AK$26:$AK$32),2)</f>
        <v>0</v>
      </c>
      <c r="AL34" s="153"/>
      <c r="AM34" s="153"/>
      <c r="AN34" s="153"/>
      <c r="AO34" s="155"/>
      <c r="AP34" s="30"/>
      <c r="AQ34" s="22"/>
      <c r="BE34" s="143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48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49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50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51</v>
      </c>
      <c r="S58" s="40"/>
      <c r="T58" s="40"/>
      <c r="U58" s="40"/>
      <c r="V58" s="40"/>
      <c r="W58" s="40"/>
      <c r="X58" s="40"/>
      <c r="Y58" s="40"/>
      <c r="Z58" s="42"/>
      <c r="AC58" s="39" t="s">
        <v>50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51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53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50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51</v>
      </c>
      <c r="S69" s="40"/>
      <c r="T69" s="40"/>
      <c r="U69" s="40"/>
      <c r="V69" s="40"/>
      <c r="W69" s="40"/>
      <c r="X69" s="40"/>
      <c r="Y69" s="40"/>
      <c r="Z69" s="42"/>
      <c r="AC69" s="39" t="s">
        <v>50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51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41" t="s">
        <v>54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45" t="str">
        <f>$K$6</f>
        <v>130105 - MENDELU  - revitalizace objektu  Z</v>
      </c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BRNO</v>
      </c>
      <c r="AI80" s="15" t="s">
        <v>20</v>
      </c>
      <c r="AM80" s="52" t="str">
        <f>IF($AN$8="","",$AN$8)</f>
        <v>30.05.2013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MENDELOVA  UNIVERZITA  V  BRNĚ</v>
      </c>
      <c r="AI82" s="15" t="s">
        <v>30</v>
      </c>
      <c r="AM82" s="156" t="str">
        <f>IF($E$17="","",$E$17)</f>
        <v>ing.Helena Zámečníková Brno</v>
      </c>
      <c r="AN82" s="143"/>
      <c r="AO82" s="143"/>
      <c r="AP82" s="143"/>
      <c r="AQ82" s="22"/>
      <c r="AS82" s="157" t="s">
        <v>55</v>
      </c>
      <c r="AT82" s="158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33</v>
      </c>
      <c r="AM83" s="156" t="str">
        <f>IF($E$20="","",$E$20)</f>
        <v>Kepertová</v>
      </c>
      <c r="AN83" s="143"/>
      <c r="AO83" s="143"/>
      <c r="AP83" s="143"/>
      <c r="AQ83" s="22"/>
      <c r="AS83" s="159"/>
      <c r="AT83" s="143"/>
      <c r="BD83" s="54"/>
    </row>
    <row r="84" spans="2:56" s="6" customFormat="1" ht="12" customHeight="1">
      <c r="B84" s="21"/>
      <c r="AQ84" s="22"/>
      <c r="AS84" s="159"/>
      <c r="AT84" s="143"/>
      <c r="BD84" s="54"/>
    </row>
    <row r="85" spans="2:57" s="6" customFormat="1" ht="30" customHeight="1">
      <c r="B85" s="21"/>
      <c r="C85" s="160" t="s">
        <v>56</v>
      </c>
      <c r="D85" s="153"/>
      <c r="E85" s="153"/>
      <c r="F85" s="153"/>
      <c r="G85" s="153"/>
      <c r="H85" s="32"/>
      <c r="I85" s="161" t="s">
        <v>57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61" t="s">
        <v>58</v>
      </c>
      <c r="AH85" s="153"/>
      <c r="AI85" s="153"/>
      <c r="AJ85" s="153"/>
      <c r="AK85" s="153"/>
      <c r="AL85" s="153"/>
      <c r="AM85" s="153"/>
      <c r="AN85" s="161" t="s">
        <v>59</v>
      </c>
      <c r="AO85" s="153"/>
      <c r="AP85" s="155"/>
      <c r="AQ85" s="22"/>
      <c r="AS85" s="55" t="s">
        <v>60</v>
      </c>
      <c r="AT85" s="56" t="s">
        <v>61</v>
      </c>
      <c r="AU85" s="56" t="s">
        <v>62</v>
      </c>
      <c r="AV85" s="56" t="s">
        <v>63</v>
      </c>
      <c r="AW85" s="56" t="s">
        <v>64</v>
      </c>
      <c r="AX85" s="56" t="s">
        <v>65</v>
      </c>
      <c r="AY85" s="56" t="s">
        <v>66</v>
      </c>
      <c r="AZ85" s="56" t="s">
        <v>67</v>
      </c>
      <c r="BA85" s="56" t="s">
        <v>68</v>
      </c>
      <c r="BB85" s="56" t="s">
        <v>69</v>
      </c>
      <c r="BC85" s="56" t="s">
        <v>70</v>
      </c>
      <c r="BD85" s="57" t="s">
        <v>71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72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9">
        <f>ROUNDUP(SUM($AG$88:$AG$91),2)</f>
        <v>0</v>
      </c>
      <c r="AH87" s="170"/>
      <c r="AI87" s="170"/>
      <c r="AJ87" s="170"/>
      <c r="AK87" s="170"/>
      <c r="AL87" s="170"/>
      <c r="AM87" s="170"/>
      <c r="AN87" s="169">
        <f>ROUNDUP(SUM($AG$87,$AT$87),2)</f>
        <v>0</v>
      </c>
      <c r="AO87" s="170"/>
      <c r="AP87" s="170"/>
      <c r="AQ87" s="50"/>
      <c r="AS87" s="61">
        <f>ROUNDUP(SUM($AS$88:$AS$91),2)</f>
        <v>0</v>
      </c>
      <c r="AT87" s="62">
        <f>ROUNDUP(SUM($AV$87:$AW$87),1)</f>
        <v>0</v>
      </c>
      <c r="AU87" s="63">
        <f>ROUNDUP(SUM($AU$88:$AU$91),5)</f>
        <v>237.19003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ROUNDUP(SUM($AZ$88:$AZ$91),2)</f>
        <v>0</v>
      </c>
      <c r="BA87" s="62">
        <f>ROUNDUP(SUM($BA$88:$BA$91),2)</f>
        <v>0</v>
      </c>
      <c r="BB87" s="62">
        <f>ROUNDUP(SUM($BB$88:$BB$91),2)</f>
        <v>0</v>
      </c>
      <c r="BC87" s="62">
        <f>ROUNDUP(SUM($BC$88:$BC$91),2)</f>
        <v>0</v>
      </c>
      <c r="BD87" s="64">
        <f>ROUNDUP(SUM($BD$88:$BD$91),2)</f>
        <v>0</v>
      </c>
      <c r="BS87" s="14" t="s">
        <v>73</v>
      </c>
      <c r="BT87" s="14" t="s">
        <v>74</v>
      </c>
      <c r="BU87" s="65" t="s">
        <v>75</v>
      </c>
      <c r="BV87" s="14" t="s">
        <v>76</v>
      </c>
      <c r="BW87" s="14" t="s">
        <v>77</v>
      </c>
      <c r="BX87" s="14" t="s">
        <v>78</v>
      </c>
    </row>
    <row r="88" spans="1:76" s="66" customFormat="1" ht="28.5" customHeight="1">
      <c r="A88" s="200" t="s">
        <v>352</v>
      </c>
      <c r="B88" s="67"/>
      <c r="C88" s="68"/>
      <c r="D88" s="164" t="s">
        <v>79</v>
      </c>
      <c r="E88" s="165"/>
      <c r="F88" s="165"/>
      <c r="G88" s="165"/>
      <c r="H88" s="165"/>
      <c r="I88" s="68"/>
      <c r="J88" s="164" t="s">
        <v>80</v>
      </c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2">
        <f>'SO 02 - SO 02 Revitalizac...'!$M$27</f>
        <v>0</v>
      </c>
      <c r="AH88" s="163"/>
      <c r="AI88" s="163"/>
      <c r="AJ88" s="163"/>
      <c r="AK88" s="163"/>
      <c r="AL88" s="163"/>
      <c r="AM88" s="163"/>
      <c r="AN88" s="162">
        <f>ROUNDUP(SUM($AG$88,$AT$88),2)</f>
        <v>0</v>
      </c>
      <c r="AO88" s="163"/>
      <c r="AP88" s="163"/>
      <c r="AQ88" s="69"/>
      <c r="AS88" s="70">
        <f>'SO 02 - SO 02 Revitalizac...'!$M$25</f>
        <v>0</v>
      </c>
      <c r="AT88" s="71">
        <f>ROUNDUP(SUM($AV$88:$AW$88),1)</f>
        <v>0</v>
      </c>
      <c r="AU88" s="72">
        <f>'SO 02 - SO 02 Revitalizac...'!$W$118</f>
        <v>8.347</v>
      </c>
      <c r="AV88" s="71">
        <f>'SO 02 - SO 02 Revitalizac...'!$M$29</f>
        <v>0</v>
      </c>
      <c r="AW88" s="71">
        <f>'SO 02 - SO 02 Revitalizac...'!$M$30</f>
        <v>0</v>
      </c>
      <c r="AX88" s="71">
        <f>'SO 02 - SO 02 Revitalizac...'!$M$31</f>
        <v>0</v>
      </c>
      <c r="AY88" s="71">
        <f>'SO 02 - SO 02 Revitalizac...'!$M$32</f>
        <v>0</v>
      </c>
      <c r="AZ88" s="71">
        <f>'SO 02 - SO 02 Revitalizac...'!$H$29</f>
        <v>0</v>
      </c>
      <c r="BA88" s="71">
        <f>'SO 02 - SO 02 Revitalizac...'!$H$30</f>
        <v>0</v>
      </c>
      <c r="BB88" s="71">
        <f>'SO 02 - SO 02 Revitalizac...'!$H$31</f>
        <v>0</v>
      </c>
      <c r="BC88" s="71">
        <f>'SO 02 - SO 02 Revitalizac...'!$H$32</f>
        <v>0</v>
      </c>
      <c r="BD88" s="73">
        <f>'SO 02 - SO 02 Revitalizac...'!$H$33</f>
        <v>0</v>
      </c>
      <c r="BT88" s="66" t="s">
        <v>17</v>
      </c>
      <c r="BV88" s="66" t="s">
        <v>76</v>
      </c>
      <c r="BW88" s="66" t="s">
        <v>81</v>
      </c>
      <c r="BX88" s="66" t="s">
        <v>77</v>
      </c>
    </row>
    <row r="89" spans="1:76" s="66" customFormat="1" ht="28.5" customHeight="1">
      <c r="A89" s="200" t="s">
        <v>352</v>
      </c>
      <c r="B89" s="67"/>
      <c r="C89" s="68"/>
      <c r="D89" s="164" t="s">
        <v>82</v>
      </c>
      <c r="E89" s="165"/>
      <c r="F89" s="165"/>
      <c r="G89" s="165"/>
      <c r="H89" s="165"/>
      <c r="I89" s="68"/>
      <c r="J89" s="164" t="s">
        <v>83</v>
      </c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2">
        <f>'3a.4 - SO 3a - Úprava pos...'!$M$27</f>
        <v>0</v>
      </c>
      <c r="AH89" s="163"/>
      <c r="AI89" s="163"/>
      <c r="AJ89" s="163"/>
      <c r="AK89" s="163"/>
      <c r="AL89" s="163"/>
      <c r="AM89" s="163"/>
      <c r="AN89" s="162">
        <f>ROUNDUP(SUM($AG$89,$AT$89),2)</f>
        <v>0</v>
      </c>
      <c r="AO89" s="163"/>
      <c r="AP89" s="163"/>
      <c r="AQ89" s="69"/>
      <c r="AS89" s="70">
        <f>'3a.4 - SO 3a - Úprava pos...'!$M$25</f>
        <v>0</v>
      </c>
      <c r="AT89" s="71">
        <f>ROUNDUP(SUM($AV$89:$AW$89),1)</f>
        <v>0</v>
      </c>
      <c r="AU89" s="72">
        <f>'3a.4 - SO 3a - Úprava pos...'!$W$125</f>
        <v>214.27115400000002</v>
      </c>
      <c r="AV89" s="71">
        <f>'3a.4 - SO 3a - Úprava pos...'!$M$29</f>
        <v>0</v>
      </c>
      <c r="AW89" s="71">
        <f>'3a.4 - SO 3a - Úprava pos...'!$M$30</f>
        <v>0</v>
      </c>
      <c r="AX89" s="71">
        <f>'3a.4 - SO 3a - Úprava pos...'!$M$31</f>
        <v>0</v>
      </c>
      <c r="AY89" s="71">
        <f>'3a.4 - SO 3a - Úprava pos...'!$M$32</f>
        <v>0</v>
      </c>
      <c r="AZ89" s="71">
        <f>'3a.4 - SO 3a - Úprava pos...'!$H$29</f>
        <v>0</v>
      </c>
      <c r="BA89" s="71">
        <f>'3a.4 - SO 3a - Úprava pos...'!$H$30</f>
        <v>0</v>
      </c>
      <c r="BB89" s="71">
        <f>'3a.4 - SO 3a - Úprava pos...'!$H$31</f>
        <v>0</v>
      </c>
      <c r="BC89" s="71">
        <f>'3a.4 - SO 3a - Úprava pos...'!$H$32</f>
        <v>0</v>
      </c>
      <c r="BD89" s="73">
        <f>'3a.4 - SO 3a - Úprava pos...'!$H$33</f>
        <v>0</v>
      </c>
      <c r="BT89" s="66" t="s">
        <v>17</v>
      </c>
      <c r="BV89" s="66" t="s">
        <v>76</v>
      </c>
      <c r="BW89" s="66" t="s">
        <v>84</v>
      </c>
      <c r="BX89" s="66" t="s">
        <v>77</v>
      </c>
    </row>
    <row r="90" spans="1:76" s="66" customFormat="1" ht="28.5" customHeight="1">
      <c r="A90" s="200" t="s">
        <v>352</v>
      </c>
      <c r="B90" s="67"/>
      <c r="C90" s="68"/>
      <c r="D90" s="164" t="s">
        <v>85</v>
      </c>
      <c r="E90" s="165"/>
      <c r="F90" s="165"/>
      <c r="G90" s="165"/>
      <c r="H90" s="165"/>
      <c r="I90" s="68"/>
      <c r="J90" s="164" t="s">
        <v>86</v>
      </c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2">
        <f>'3b.3 - SO 3b - Úprava kan...'!$M$27</f>
        <v>0</v>
      </c>
      <c r="AH90" s="163"/>
      <c r="AI90" s="163"/>
      <c r="AJ90" s="163"/>
      <c r="AK90" s="163"/>
      <c r="AL90" s="163"/>
      <c r="AM90" s="163"/>
      <c r="AN90" s="162">
        <f>ROUNDUP(SUM($AG$90,$AT$90),2)</f>
        <v>0</v>
      </c>
      <c r="AO90" s="163"/>
      <c r="AP90" s="163"/>
      <c r="AQ90" s="69"/>
      <c r="AS90" s="70">
        <f>'3b.3 - SO 3b - Úprava kan...'!$M$25</f>
        <v>0</v>
      </c>
      <c r="AT90" s="71">
        <f>ROUNDUP(SUM($AV$90:$AW$90),1)</f>
        <v>0</v>
      </c>
      <c r="AU90" s="72">
        <f>'3b.3 - SO 3b - Úprava kan...'!$W$123</f>
        <v>6.760767</v>
      </c>
      <c r="AV90" s="71">
        <f>'3b.3 - SO 3b - Úprava kan...'!$M$29</f>
        <v>0</v>
      </c>
      <c r="AW90" s="71">
        <f>'3b.3 - SO 3b - Úprava kan...'!$M$30</f>
        <v>0</v>
      </c>
      <c r="AX90" s="71">
        <f>'3b.3 - SO 3b - Úprava kan...'!$M$31</f>
        <v>0</v>
      </c>
      <c r="AY90" s="71">
        <f>'3b.3 - SO 3b - Úprava kan...'!$M$32</f>
        <v>0</v>
      </c>
      <c r="AZ90" s="71">
        <f>'3b.3 - SO 3b - Úprava kan...'!$H$29</f>
        <v>0</v>
      </c>
      <c r="BA90" s="71">
        <f>'3b.3 - SO 3b - Úprava kan...'!$H$30</f>
        <v>0</v>
      </c>
      <c r="BB90" s="71">
        <f>'3b.3 - SO 3b - Úprava kan...'!$H$31</f>
        <v>0</v>
      </c>
      <c r="BC90" s="71">
        <f>'3b.3 - SO 3b - Úprava kan...'!$H$32</f>
        <v>0</v>
      </c>
      <c r="BD90" s="73">
        <f>'3b.3 - SO 3b - Úprava kan...'!$H$33</f>
        <v>0</v>
      </c>
      <c r="BT90" s="66" t="s">
        <v>17</v>
      </c>
      <c r="BV90" s="66" t="s">
        <v>76</v>
      </c>
      <c r="BW90" s="66" t="s">
        <v>87</v>
      </c>
      <c r="BX90" s="66" t="s">
        <v>77</v>
      </c>
    </row>
    <row r="91" spans="1:76" s="66" customFormat="1" ht="28.5" customHeight="1">
      <c r="A91" s="200" t="s">
        <v>352</v>
      </c>
      <c r="B91" s="67"/>
      <c r="C91" s="68"/>
      <c r="D91" s="164" t="s">
        <v>88</v>
      </c>
      <c r="E91" s="165"/>
      <c r="F91" s="165"/>
      <c r="G91" s="165"/>
      <c r="H91" s="165"/>
      <c r="I91" s="68"/>
      <c r="J91" s="164" t="s">
        <v>89</v>
      </c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2">
        <f>'3c.5 - SO 3c - Úpravy děk...'!$M$27</f>
        <v>0</v>
      </c>
      <c r="AH91" s="163"/>
      <c r="AI91" s="163"/>
      <c r="AJ91" s="163"/>
      <c r="AK91" s="163"/>
      <c r="AL91" s="163"/>
      <c r="AM91" s="163"/>
      <c r="AN91" s="162">
        <f>ROUNDUP(SUM($AG$91,$AT$91),2)</f>
        <v>0</v>
      </c>
      <c r="AO91" s="163"/>
      <c r="AP91" s="163"/>
      <c r="AQ91" s="69"/>
      <c r="AS91" s="74">
        <f>'3c.5 - SO 3c - Úpravy děk...'!$M$25</f>
        <v>0</v>
      </c>
      <c r="AT91" s="75">
        <f>ROUNDUP(SUM($AV$91:$AW$91),1)</f>
        <v>0</v>
      </c>
      <c r="AU91" s="76">
        <f>'3c.5 - SO 3c - Úpravy děk...'!$W$119</f>
        <v>7.811100000000001</v>
      </c>
      <c r="AV91" s="75">
        <f>'3c.5 - SO 3c - Úpravy děk...'!$M$29</f>
        <v>0</v>
      </c>
      <c r="AW91" s="75">
        <f>'3c.5 - SO 3c - Úpravy děk...'!$M$30</f>
        <v>0</v>
      </c>
      <c r="AX91" s="75">
        <f>'3c.5 - SO 3c - Úpravy děk...'!$M$31</f>
        <v>0</v>
      </c>
      <c r="AY91" s="75">
        <f>'3c.5 - SO 3c - Úpravy děk...'!$M$32</f>
        <v>0</v>
      </c>
      <c r="AZ91" s="75">
        <f>'3c.5 - SO 3c - Úpravy děk...'!$H$29</f>
        <v>0</v>
      </c>
      <c r="BA91" s="75">
        <f>'3c.5 - SO 3c - Úpravy děk...'!$H$30</f>
        <v>0</v>
      </c>
      <c r="BB91" s="75">
        <f>'3c.5 - SO 3c - Úpravy děk...'!$H$31</f>
        <v>0</v>
      </c>
      <c r="BC91" s="75">
        <f>'3c.5 - SO 3c - Úpravy děk...'!$H$32</f>
        <v>0</v>
      </c>
      <c r="BD91" s="77">
        <f>'3c.5 - SO 3c - Úpravy děk...'!$H$33</f>
        <v>0</v>
      </c>
      <c r="BT91" s="66" t="s">
        <v>17</v>
      </c>
      <c r="BV91" s="66" t="s">
        <v>76</v>
      </c>
      <c r="BW91" s="66" t="s">
        <v>90</v>
      </c>
      <c r="BX91" s="66" t="s">
        <v>77</v>
      </c>
    </row>
    <row r="92" spans="2:43" s="2" customFormat="1" ht="14.25" customHeight="1">
      <c r="B92" s="10"/>
      <c r="AQ92" s="11"/>
    </row>
    <row r="93" spans="2:49" s="6" customFormat="1" ht="30.75" customHeight="1">
      <c r="B93" s="21"/>
      <c r="C93" s="60" t="s">
        <v>91</v>
      </c>
      <c r="AG93" s="169">
        <f>ROUNDUP(SUM($AG$94:$AG$106),2)</f>
        <v>0</v>
      </c>
      <c r="AH93" s="143"/>
      <c r="AI93" s="143"/>
      <c r="AJ93" s="143"/>
      <c r="AK93" s="143"/>
      <c r="AL93" s="143"/>
      <c r="AM93" s="143"/>
      <c r="AN93" s="169">
        <f>ROUNDUP(SUM($AN$94:$AN$106),2)</f>
        <v>0</v>
      </c>
      <c r="AO93" s="143"/>
      <c r="AP93" s="143"/>
      <c r="AQ93" s="22"/>
      <c r="AS93" s="55" t="s">
        <v>92</v>
      </c>
      <c r="AT93" s="56" t="s">
        <v>93</v>
      </c>
      <c r="AU93" s="56" t="s">
        <v>38</v>
      </c>
      <c r="AV93" s="57" t="s">
        <v>61</v>
      </c>
      <c r="AW93" s="58"/>
    </row>
    <row r="94" spans="2:89" s="6" customFormat="1" ht="21" customHeight="1">
      <c r="B94" s="21"/>
      <c r="D94" s="78" t="s">
        <v>94</v>
      </c>
      <c r="AG94" s="166">
        <f>ROUNDUP($AG$87*$AS$94,2)</f>
        <v>0</v>
      </c>
      <c r="AH94" s="143"/>
      <c r="AI94" s="143"/>
      <c r="AJ94" s="143"/>
      <c r="AK94" s="143"/>
      <c r="AL94" s="143"/>
      <c r="AM94" s="143"/>
      <c r="AN94" s="167">
        <f>ROUNDUP($AG$94+$AV$94,2)</f>
        <v>0</v>
      </c>
      <c r="AO94" s="143"/>
      <c r="AP94" s="143"/>
      <c r="AQ94" s="22"/>
      <c r="AS94" s="79">
        <v>0</v>
      </c>
      <c r="AT94" s="80" t="s">
        <v>95</v>
      </c>
      <c r="AU94" s="80" t="s">
        <v>39</v>
      </c>
      <c r="AV94" s="81">
        <f>ROUNDUP(IF($AU$94="základní",$AG$94*$L$28,IF($AU$94="snížená",$AG$94*$L$29,0)),2)</f>
        <v>0</v>
      </c>
      <c r="BV94" s="6" t="s">
        <v>96</v>
      </c>
      <c r="BY94" s="82">
        <f>IF($AU$94="základní",$AV$94,0)</f>
        <v>0</v>
      </c>
      <c r="BZ94" s="82">
        <f>IF($AU$94="snížená",$AV$94,0)</f>
        <v>0</v>
      </c>
      <c r="CA94" s="82">
        <v>0</v>
      </c>
      <c r="CB94" s="82">
        <v>0</v>
      </c>
      <c r="CC94" s="82">
        <v>0</v>
      </c>
      <c r="CD94" s="82">
        <f>IF($AU$94="základní",$AG$94,0)</f>
        <v>0</v>
      </c>
      <c r="CE94" s="82">
        <f>IF($AU$94="snížená",$AG$94,0)</f>
        <v>0</v>
      </c>
      <c r="CF94" s="82">
        <f>IF($AU$94="zákl. přenesená",$AG$94,0)</f>
        <v>0</v>
      </c>
      <c r="CG94" s="82">
        <f>IF($AU$94="sníž. přenesená",$AG$94,0)</f>
        <v>0</v>
      </c>
      <c r="CH94" s="82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8" t="s">
        <v>97</v>
      </c>
      <c r="AG95" s="166">
        <f>ROUNDUP($AG$87*$AS$95,2)</f>
        <v>0</v>
      </c>
      <c r="AH95" s="143"/>
      <c r="AI95" s="143"/>
      <c r="AJ95" s="143"/>
      <c r="AK95" s="143"/>
      <c r="AL95" s="143"/>
      <c r="AM95" s="143"/>
      <c r="AN95" s="167">
        <f>ROUNDUP($AG$95+$AV$95,2)</f>
        <v>0</v>
      </c>
      <c r="AO95" s="143"/>
      <c r="AP95" s="143"/>
      <c r="AQ95" s="22"/>
      <c r="AS95" s="83">
        <v>0</v>
      </c>
      <c r="AT95" s="84" t="s">
        <v>95</v>
      </c>
      <c r="AU95" s="84" t="s">
        <v>39</v>
      </c>
      <c r="AV95" s="85">
        <f>ROUNDUP(IF($AU$95="základní",$AG$95*$L$28,IF($AU$95="snížená",$AG$95*$L$29,0)),2)</f>
        <v>0</v>
      </c>
      <c r="BV95" s="6" t="s">
        <v>96</v>
      </c>
      <c r="BY95" s="82">
        <f>IF($AU$95="základní",$AV$95,0)</f>
        <v>0</v>
      </c>
      <c r="BZ95" s="82">
        <f>IF($AU$95="snížená",$AV$95,0)</f>
        <v>0</v>
      </c>
      <c r="CA95" s="82">
        <v>0</v>
      </c>
      <c r="CB95" s="82">
        <v>0</v>
      </c>
      <c r="CC95" s="82">
        <v>0</v>
      </c>
      <c r="CD95" s="82">
        <f>IF($AU$95="základní",$AG$95,0)</f>
        <v>0</v>
      </c>
      <c r="CE95" s="82">
        <f>IF($AU$95="snížená",$AG$95,0)</f>
        <v>0</v>
      </c>
      <c r="CF95" s="82">
        <f>IF($AU$95="zákl. přenesená",$AG$95,0)</f>
        <v>0</v>
      </c>
      <c r="CG95" s="82">
        <f>IF($AU$95="sníž. přenesená",$AG$95,0)</f>
        <v>0</v>
      </c>
      <c r="CH95" s="82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8" t="s">
        <v>98</v>
      </c>
      <c r="AG96" s="166">
        <f>ROUNDUP($AG$87*$AS$96,2)</f>
        <v>0</v>
      </c>
      <c r="AH96" s="143"/>
      <c r="AI96" s="143"/>
      <c r="AJ96" s="143"/>
      <c r="AK96" s="143"/>
      <c r="AL96" s="143"/>
      <c r="AM96" s="143"/>
      <c r="AN96" s="167">
        <f>ROUNDUP($AG$96+$AV$96,2)</f>
        <v>0</v>
      </c>
      <c r="AO96" s="143"/>
      <c r="AP96" s="143"/>
      <c r="AQ96" s="22"/>
      <c r="AS96" s="83">
        <v>0</v>
      </c>
      <c r="AT96" s="84" t="s">
        <v>95</v>
      </c>
      <c r="AU96" s="84" t="s">
        <v>39</v>
      </c>
      <c r="AV96" s="85">
        <f>ROUNDUP(IF($AU$96="základní",$AG$96*$L$28,IF($AU$96="snížená",$AG$96*$L$29,0)),2)</f>
        <v>0</v>
      </c>
      <c r="BV96" s="6" t="s">
        <v>96</v>
      </c>
      <c r="BY96" s="82">
        <f>IF($AU$96="základní",$AV$96,0)</f>
        <v>0</v>
      </c>
      <c r="BZ96" s="82">
        <f>IF($AU$96="snížená",$AV$96,0)</f>
        <v>0</v>
      </c>
      <c r="CA96" s="82">
        <v>0</v>
      </c>
      <c r="CB96" s="82">
        <v>0</v>
      </c>
      <c r="CC96" s="82">
        <v>0</v>
      </c>
      <c r="CD96" s="82">
        <f>IF($AU$96="základní",$AG$96,0)</f>
        <v>0</v>
      </c>
      <c r="CE96" s="82">
        <f>IF($AU$96="snížená",$AG$96,0)</f>
        <v>0</v>
      </c>
      <c r="CF96" s="82">
        <f>IF($AU$96="zákl. přenesená",$AG$96,0)</f>
        <v>0</v>
      </c>
      <c r="CG96" s="82">
        <f>IF($AU$96="sníž. přenesená",$AG$96,0)</f>
        <v>0</v>
      </c>
      <c r="CH96" s="82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8" t="s">
        <v>99</v>
      </c>
      <c r="AG97" s="166">
        <f>ROUNDUP($AG$87*$AS$97,2)</f>
        <v>0</v>
      </c>
      <c r="AH97" s="143"/>
      <c r="AI97" s="143"/>
      <c r="AJ97" s="143"/>
      <c r="AK97" s="143"/>
      <c r="AL97" s="143"/>
      <c r="AM97" s="143"/>
      <c r="AN97" s="167">
        <f>ROUNDUP($AG$97+$AV$97,2)</f>
        <v>0</v>
      </c>
      <c r="AO97" s="143"/>
      <c r="AP97" s="143"/>
      <c r="AQ97" s="22"/>
      <c r="AS97" s="83">
        <v>0</v>
      </c>
      <c r="AT97" s="84" t="s">
        <v>95</v>
      </c>
      <c r="AU97" s="84" t="s">
        <v>39</v>
      </c>
      <c r="AV97" s="85">
        <f>ROUNDUP(IF($AU$97="základní",$AG$97*$L$28,IF($AU$97="snížená",$AG$97*$L$29,0)),2)</f>
        <v>0</v>
      </c>
      <c r="BV97" s="6" t="s">
        <v>96</v>
      </c>
      <c r="BY97" s="82">
        <f>IF($AU$97="základní",$AV$97,0)</f>
        <v>0</v>
      </c>
      <c r="BZ97" s="82">
        <f>IF($AU$97="snížená",$AV$97,0)</f>
        <v>0</v>
      </c>
      <c r="CA97" s="82">
        <v>0</v>
      </c>
      <c r="CB97" s="82">
        <v>0</v>
      </c>
      <c r="CC97" s="82">
        <v>0</v>
      </c>
      <c r="CD97" s="82">
        <f>IF($AU$97="základní",$AG$97,0)</f>
        <v>0</v>
      </c>
      <c r="CE97" s="82">
        <f>IF($AU$97="snížená",$AG$97,0)</f>
        <v>0</v>
      </c>
      <c r="CF97" s="82">
        <f>IF($AU$97="zákl. přenesená",$AG$97,0)</f>
        <v>0</v>
      </c>
      <c r="CG97" s="82">
        <f>IF($AU$97="sníž. přenesená",$AG$97,0)</f>
        <v>0</v>
      </c>
      <c r="CH97" s="82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8" t="s">
        <v>100</v>
      </c>
      <c r="AG98" s="166">
        <f>ROUNDUP($AG$87*$AS$98,2)</f>
        <v>0</v>
      </c>
      <c r="AH98" s="143"/>
      <c r="AI98" s="143"/>
      <c r="AJ98" s="143"/>
      <c r="AK98" s="143"/>
      <c r="AL98" s="143"/>
      <c r="AM98" s="143"/>
      <c r="AN98" s="167">
        <f>ROUNDUP($AG$98+$AV$98,2)</f>
        <v>0</v>
      </c>
      <c r="AO98" s="143"/>
      <c r="AP98" s="143"/>
      <c r="AQ98" s="22"/>
      <c r="AS98" s="83">
        <v>0</v>
      </c>
      <c r="AT98" s="84" t="s">
        <v>95</v>
      </c>
      <c r="AU98" s="84" t="s">
        <v>39</v>
      </c>
      <c r="AV98" s="85">
        <f>ROUNDUP(IF($AU$98="základní",$AG$98*$L$28,IF($AU$98="snížená",$AG$98*$L$29,0)),2)</f>
        <v>0</v>
      </c>
      <c r="BV98" s="6" t="s">
        <v>96</v>
      </c>
      <c r="BY98" s="82">
        <f>IF($AU$98="základní",$AV$98,0)</f>
        <v>0</v>
      </c>
      <c r="BZ98" s="82">
        <f>IF($AU$98="snížená",$AV$98,0)</f>
        <v>0</v>
      </c>
      <c r="CA98" s="82">
        <v>0</v>
      </c>
      <c r="CB98" s="82">
        <v>0</v>
      </c>
      <c r="CC98" s="82">
        <v>0</v>
      </c>
      <c r="CD98" s="82">
        <f>IF($AU$98="základní",$AG$98,0)</f>
        <v>0</v>
      </c>
      <c r="CE98" s="82">
        <f>IF($AU$98="snížená",$AG$98,0)</f>
        <v>0</v>
      </c>
      <c r="CF98" s="82">
        <f>IF($AU$98="zákl. přenesená",$AG$98,0)</f>
        <v>0</v>
      </c>
      <c r="CG98" s="82">
        <f>IF($AU$98="sníž. přenesená",$AG$98,0)</f>
        <v>0</v>
      </c>
      <c r="CH98" s="82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8" t="s">
        <v>101</v>
      </c>
      <c r="AG99" s="166">
        <f>ROUNDUP($AG$87*$AS$99,2)</f>
        <v>0</v>
      </c>
      <c r="AH99" s="143"/>
      <c r="AI99" s="143"/>
      <c r="AJ99" s="143"/>
      <c r="AK99" s="143"/>
      <c r="AL99" s="143"/>
      <c r="AM99" s="143"/>
      <c r="AN99" s="167">
        <f>ROUNDUP($AG$99+$AV$99,2)</f>
        <v>0</v>
      </c>
      <c r="AO99" s="143"/>
      <c r="AP99" s="143"/>
      <c r="AQ99" s="22"/>
      <c r="AS99" s="83">
        <v>0</v>
      </c>
      <c r="AT99" s="84" t="s">
        <v>95</v>
      </c>
      <c r="AU99" s="84" t="s">
        <v>39</v>
      </c>
      <c r="AV99" s="85">
        <f>ROUNDUP(IF($AU$99="základní",$AG$99*$L$28,IF($AU$99="snížená",$AG$99*$L$29,0)),2)</f>
        <v>0</v>
      </c>
      <c r="BV99" s="6" t="s">
        <v>96</v>
      </c>
      <c r="BY99" s="82">
        <f>IF($AU$99="základní",$AV$99,0)</f>
        <v>0</v>
      </c>
      <c r="BZ99" s="82">
        <f>IF($AU$99="snížená",$AV$99,0)</f>
        <v>0</v>
      </c>
      <c r="CA99" s="82">
        <v>0</v>
      </c>
      <c r="CB99" s="82">
        <v>0</v>
      </c>
      <c r="CC99" s="82">
        <v>0</v>
      </c>
      <c r="CD99" s="82">
        <f>IF($AU$99="základní",$AG$99,0)</f>
        <v>0</v>
      </c>
      <c r="CE99" s="82">
        <f>IF($AU$99="snížená",$AG$99,0)</f>
        <v>0</v>
      </c>
      <c r="CF99" s="82">
        <f>IF($AU$99="zákl. přenesená",$AG$99,0)</f>
        <v>0</v>
      </c>
      <c r="CG99" s="82">
        <f>IF($AU$99="sníž. přenesená",$AG$99,0)</f>
        <v>0</v>
      </c>
      <c r="CH99" s="82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8" t="s">
        <v>102</v>
      </c>
      <c r="AG100" s="166">
        <f>ROUNDUP($AG$87*$AS$100,2)</f>
        <v>0</v>
      </c>
      <c r="AH100" s="143"/>
      <c r="AI100" s="143"/>
      <c r="AJ100" s="143"/>
      <c r="AK100" s="143"/>
      <c r="AL100" s="143"/>
      <c r="AM100" s="143"/>
      <c r="AN100" s="167">
        <f>ROUNDUP($AG$100+$AV$100,2)</f>
        <v>0</v>
      </c>
      <c r="AO100" s="143"/>
      <c r="AP100" s="143"/>
      <c r="AQ100" s="22"/>
      <c r="AS100" s="83">
        <v>0</v>
      </c>
      <c r="AT100" s="84" t="s">
        <v>95</v>
      </c>
      <c r="AU100" s="84" t="s">
        <v>39</v>
      </c>
      <c r="AV100" s="85">
        <f>ROUNDUP(IF($AU$100="základní",$AG$100*$L$28,IF($AU$100="snížená",$AG$100*$L$29,0)),2)</f>
        <v>0</v>
      </c>
      <c r="BV100" s="6" t="s">
        <v>96</v>
      </c>
      <c r="BY100" s="82">
        <f>IF($AU$100="základní",$AV$100,0)</f>
        <v>0</v>
      </c>
      <c r="BZ100" s="82">
        <f>IF($AU$100="snížená",$AV$100,0)</f>
        <v>0</v>
      </c>
      <c r="CA100" s="82">
        <v>0</v>
      </c>
      <c r="CB100" s="82">
        <v>0</v>
      </c>
      <c r="CC100" s="82">
        <v>0</v>
      </c>
      <c r="CD100" s="82">
        <f>IF($AU$100="základní",$AG$100,0)</f>
        <v>0</v>
      </c>
      <c r="CE100" s="82">
        <f>IF($AU$100="snížená",$AG$100,0)</f>
        <v>0</v>
      </c>
      <c r="CF100" s="82">
        <f>IF($AU$100="zákl. přenesená",$AG$100,0)</f>
        <v>0</v>
      </c>
      <c r="CG100" s="82">
        <f>IF($AU$100="sníž. přenesená",$AG$100,0)</f>
        <v>0</v>
      </c>
      <c r="CH100" s="82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78" t="s">
        <v>103</v>
      </c>
      <c r="AG101" s="166">
        <f>ROUNDUP($AG$87*$AS$101,2)</f>
        <v>0</v>
      </c>
      <c r="AH101" s="143"/>
      <c r="AI101" s="143"/>
      <c r="AJ101" s="143"/>
      <c r="AK101" s="143"/>
      <c r="AL101" s="143"/>
      <c r="AM101" s="143"/>
      <c r="AN101" s="167">
        <f>ROUNDUP($AG$101+$AV$101,2)</f>
        <v>0</v>
      </c>
      <c r="AO101" s="143"/>
      <c r="AP101" s="143"/>
      <c r="AQ101" s="22"/>
      <c r="AS101" s="83">
        <v>0</v>
      </c>
      <c r="AT101" s="84" t="s">
        <v>95</v>
      </c>
      <c r="AU101" s="84" t="s">
        <v>39</v>
      </c>
      <c r="AV101" s="85">
        <f>ROUNDUP(IF($AU$101="základní",$AG$101*$L$28,IF($AU$101="snížená",$AG$101*$L$29,0)),2)</f>
        <v>0</v>
      </c>
      <c r="BV101" s="6" t="s">
        <v>96</v>
      </c>
      <c r="BY101" s="82">
        <f>IF($AU$101="základní",$AV$101,0)</f>
        <v>0</v>
      </c>
      <c r="BZ101" s="82">
        <f>IF($AU$101="snížená",$AV$101,0)</f>
        <v>0</v>
      </c>
      <c r="CA101" s="82">
        <v>0</v>
      </c>
      <c r="CB101" s="82">
        <v>0</v>
      </c>
      <c r="CC101" s="82">
        <v>0</v>
      </c>
      <c r="CD101" s="82">
        <f>IF($AU$101="základní",$AG$101,0)</f>
        <v>0</v>
      </c>
      <c r="CE101" s="82">
        <f>IF($AU$101="snížená",$AG$101,0)</f>
        <v>0</v>
      </c>
      <c r="CF101" s="82">
        <f>IF($AU$101="zákl. přenesená",$AG$101,0)</f>
        <v>0</v>
      </c>
      <c r="CG101" s="82">
        <f>IF($AU$101="sníž. přenesená",$AG$101,0)</f>
        <v>0</v>
      </c>
      <c r="CH101" s="82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1"/>
      <c r="D102" s="78" t="s">
        <v>104</v>
      </c>
      <c r="AG102" s="166">
        <f>ROUNDUP($AG$87*$AS$102,2)</f>
        <v>0</v>
      </c>
      <c r="AH102" s="143"/>
      <c r="AI102" s="143"/>
      <c r="AJ102" s="143"/>
      <c r="AK102" s="143"/>
      <c r="AL102" s="143"/>
      <c r="AM102" s="143"/>
      <c r="AN102" s="167">
        <f>ROUNDUP($AG$102+$AV$102,2)</f>
        <v>0</v>
      </c>
      <c r="AO102" s="143"/>
      <c r="AP102" s="143"/>
      <c r="AQ102" s="22"/>
      <c r="AS102" s="83">
        <v>0</v>
      </c>
      <c r="AT102" s="84" t="s">
        <v>95</v>
      </c>
      <c r="AU102" s="84" t="s">
        <v>39</v>
      </c>
      <c r="AV102" s="85">
        <f>ROUNDUP(IF($AU$102="základní",$AG$102*$L$28,IF($AU$102="snížená",$AG$102*$L$29,0)),2)</f>
        <v>0</v>
      </c>
      <c r="BV102" s="6" t="s">
        <v>96</v>
      </c>
      <c r="BY102" s="82">
        <f>IF($AU$102="základní",$AV$102,0)</f>
        <v>0</v>
      </c>
      <c r="BZ102" s="82">
        <f>IF($AU$102="snížená",$AV$102,0)</f>
        <v>0</v>
      </c>
      <c r="CA102" s="82">
        <v>0</v>
      </c>
      <c r="CB102" s="82">
        <v>0</v>
      </c>
      <c r="CC102" s="82">
        <v>0</v>
      </c>
      <c r="CD102" s="82">
        <f>IF($AU$102="základní",$AG$102,0)</f>
        <v>0</v>
      </c>
      <c r="CE102" s="82">
        <f>IF($AU$102="snížená",$AG$102,0)</f>
        <v>0</v>
      </c>
      <c r="CF102" s="82">
        <f>IF($AU$102="zákl. přenesená",$AG$102,0)</f>
        <v>0</v>
      </c>
      <c r="CG102" s="82">
        <f>IF($AU$102="sníž. přenesená",$AG$102,0)</f>
        <v>0</v>
      </c>
      <c r="CH102" s="82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 t="str">
        <f>IF($D$102="Vyplň vlastní","","x")</f>
        <v>x</v>
      </c>
    </row>
    <row r="103" spans="2:89" s="6" customFormat="1" ht="21" customHeight="1">
      <c r="B103" s="21"/>
      <c r="D103" s="78" t="s">
        <v>105</v>
      </c>
      <c r="AG103" s="166">
        <f>ROUNDUP($AG$87*$AS$103,2)</f>
        <v>0</v>
      </c>
      <c r="AH103" s="143"/>
      <c r="AI103" s="143"/>
      <c r="AJ103" s="143"/>
      <c r="AK103" s="143"/>
      <c r="AL103" s="143"/>
      <c r="AM103" s="143"/>
      <c r="AN103" s="167">
        <f>ROUNDUP($AG$103+$AV$103,2)</f>
        <v>0</v>
      </c>
      <c r="AO103" s="143"/>
      <c r="AP103" s="143"/>
      <c r="AQ103" s="22"/>
      <c r="AS103" s="83">
        <v>0</v>
      </c>
      <c r="AT103" s="84" t="s">
        <v>95</v>
      </c>
      <c r="AU103" s="84" t="s">
        <v>39</v>
      </c>
      <c r="AV103" s="85">
        <f>ROUNDUP(IF($AU$103="základní",$AG$103*$L$28,IF($AU$103="snížená",$AG$103*$L$29,0)),2)</f>
        <v>0</v>
      </c>
      <c r="BV103" s="6" t="s">
        <v>96</v>
      </c>
      <c r="BY103" s="82">
        <f>IF($AU$103="základní",$AV$103,0)</f>
        <v>0</v>
      </c>
      <c r="BZ103" s="82">
        <f>IF($AU$103="snížená",$AV$103,0)</f>
        <v>0</v>
      </c>
      <c r="CA103" s="82">
        <v>0</v>
      </c>
      <c r="CB103" s="82">
        <v>0</v>
      </c>
      <c r="CC103" s="82">
        <v>0</v>
      </c>
      <c r="CD103" s="82">
        <f>IF($AU$103="základní",$AG$103,0)</f>
        <v>0</v>
      </c>
      <c r="CE103" s="82">
        <f>IF($AU$103="snížená",$AG$103,0)</f>
        <v>0</v>
      </c>
      <c r="CF103" s="82">
        <f>IF($AU$103="zákl. přenesená",$AG$103,0)</f>
        <v>0</v>
      </c>
      <c r="CG103" s="82">
        <f>IF($AU$103="sníž. přenesená",$AG$103,0)</f>
        <v>0</v>
      </c>
      <c r="CH103" s="82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 t="str">
        <f>IF($D$103="Vyplň vlastní","","x")</f>
        <v>x</v>
      </c>
    </row>
    <row r="104" spans="2:89" s="6" customFormat="1" ht="21" customHeight="1">
      <c r="B104" s="21"/>
      <c r="D104" s="168" t="s">
        <v>106</v>
      </c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G104" s="166">
        <f>$AG$87*$AS$104</f>
        <v>0</v>
      </c>
      <c r="AH104" s="143"/>
      <c r="AI104" s="143"/>
      <c r="AJ104" s="143"/>
      <c r="AK104" s="143"/>
      <c r="AL104" s="143"/>
      <c r="AM104" s="143"/>
      <c r="AN104" s="167">
        <f>$AG$104+$AV$104</f>
        <v>0</v>
      </c>
      <c r="AO104" s="143"/>
      <c r="AP104" s="143"/>
      <c r="AQ104" s="22"/>
      <c r="AS104" s="83">
        <v>0</v>
      </c>
      <c r="AT104" s="84" t="s">
        <v>95</v>
      </c>
      <c r="AU104" s="84" t="s">
        <v>39</v>
      </c>
      <c r="AV104" s="85">
        <f>ROUNDUP(IF($AU$104="nulová",0,IF(OR($AU$104="základní",$AU$104="zákl. přenesená"),$AG$104*$L$28,$AG$104*$L$29)),1)</f>
        <v>0</v>
      </c>
      <c r="BV104" s="6" t="s">
        <v>107</v>
      </c>
      <c r="BY104" s="82">
        <f>IF($AU$104="základní",$AV$104,0)</f>
        <v>0</v>
      </c>
      <c r="BZ104" s="82">
        <f>IF($AU$104="snížená",$AV$104,0)</f>
        <v>0</v>
      </c>
      <c r="CA104" s="82">
        <f>IF($AU$104="zákl. přenesená",$AV$104,0)</f>
        <v>0</v>
      </c>
      <c r="CB104" s="82">
        <f>IF($AU$104="sníž. přenesená",$AV$104,0)</f>
        <v>0</v>
      </c>
      <c r="CC104" s="82">
        <f>IF($AU$104="nulová",$AV$104,0)</f>
        <v>0</v>
      </c>
      <c r="CD104" s="82">
        <f>IF($AU$104="základní",$AG$104,0)</f>
        <v>0</v>
      </c>
      <c r="CE104" s="82">
        <f>IF($AU$104="snížená",$AG$104,0)</f>
        <v>0</v>
      </c>
      <c r="CF104" s="82">
        <f>IF($AU$104="zákl. přenesená",$AG$104,0)</f>
        <v>0</v>
      </c>
      <c r="CG104" s="82">
        <f>IF($AU$104="sníž. přenesená",$AG$104,0)</f>
        <v>0</v>
      </c>
      <c r="CH104" s="82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>
        <f>IF($D$104="Vyplň vlastní","","x")</f>
      </c>
    </row>
    <row r="105" spans="2:89" s="6" customFormat="1" ht="21" customHeight="1">
      <c r="B105" s="21"/>
      <c r="D105" s="168" t="s">
        <v>106</v>
      </c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G105" s="166">
        <f>$AG$87*$AS$105</f>
        <v>0</v>
      </c>
      <c r="AH105" s="143"/>
      <c r="AI105" s="143"/>
      <c r="AJ105" s="143"/>
      <c r="AK105" s="143"/>
      <c r="AL105" s="143"/>
      <c r="AM105" s="143"/>
      <c r="AN105" s="167">
        <f>$AG$105+$AV$105</f>
        <v>0</v>
      </c>
      <c r="AO105" s="143"/>
      <c r="AP105" s="143"/>
      <c r="AQ105" s="22"/>
      <c r="AS105" s="83">
        <v>0</v>
      </c>
      <c r="AT105" s="84" t="s">
        <v>95</v>
      </c>
      <c r="AU105" s="84" t="s">
        <v>39</v>
      </c>
      <c r="AV105" s="85">
        <f>ROUNDUP(IF($AU$105="nulová",0,IF(OR($AU$105="základní",$AU$105="zákl. přenesená"),$AG$105*$L$28,$AG$105*$L$29)),1)</f>
        <v>0</v>
      </c>
      <c r="BV105" s="6" t="s">
        <v>107</v>
      </c>
      <c r="BY105" s="82">
        <f>IF($AU$105="základní",$AV$105,0)</f>
        <v>0</v>
      </c>
      <c r="BZ105" s="82">
        <f>IF($AU$105="snížená",$AV$105,0)</f>
        <v>0</v>
      </c>
      <c r="CA105" s="82">
        <f>IF($AU$105="zákl. přenesená",$AV$105,0)</f>
        <v>0</v>
      </c>
      <c r="CB105" s="82">
        <f>IF($AU$105="sníž. přenesená",$AV$105,0)</f>
        <v>0</v>
      </c>
      <c r="CC105" s="82">
        <f>IF($AU$105="nulová",$AV$105,0)</f>
        <v>0</v>
      </c>
      <c r="CD105" s="82">
        <f>IF($AU$105="základní",$AG$105,0)</f>
        <v>0</v>
      </c>
      <c r="CE105" s="82">
        <f>IF($AU$105="snížená",$AG$105,0)</f>
        <v>0</v>
      </c>
      <c r="CF105" s="82">
        <f>IF($AU$105="zákl. přenesená",$AG$105,0)</f>
        <v>0</v>
      </c>
      <c r="CG105" s="82">
        <f>IF($AU$105="sníž. přenesená",$AG$105,0)</f>
        <v>0</v>
      </c>
      <c r="CH105" s="82">
        <f>IF($AU$105="nulová",$AG$105,0)</f>
        <v>0</v>
      </c>
      <c r="CI105" s="6">
        <f>IF($AU$105="základní",1,IF($AU$105="snížená",2,IF($AU$105="zákl. přenesená",4,IF($AU$105="sníž. přenesená",5,3))))</f>
        <v>1</v>
      </c>
      <c r="CJ105" s="6">
        <f>IF($AT$105="stavební čast",1,IF(88105="investiční čast",2,3))</f>
        <v>1</v>
      </c>
      <c r="CK105" s="6">
        <f>IF($D$105="Vyplň vlastní","","x")</f>
      </c>
    </row>
    <row r="106" spans="2:89" s="6" customFormat="1" ht="21" customHeight="1">
      <c r="B106" s="21"/>
      <c r="D106" s="168" t="s">
        <v>106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G106" s="166">
        <f>$AG$87*$AS$106</f>
        <v>0</v>
      </c>
      <c r="AH106" s="143"/>
      <c r="AI106" s="143"/>
      <c r="AJ106" s="143"/>
      <c r="AK106" s="143"/>
      <c r="AL106" s="143"/>
      <c r="AM106" s="143"/>
      <c r="AN106" s="167">
        <f>$AG$106+$AV$106</f>
        <v>0</v>
      </c>
      <c r="AO106" s="143"/>
      <c r="AP106" s="143"/>
      <c r="AQ106" s="22"/>
      <c r="AS106" s="86">
        <v>0</v>
      </c>
      <c r="AT106" s="87" t="s">
        <v>95</v>
      </c>
      <c r="AU106" s="87" t="s">
        <v>39</v>
      </c>
      <c r="AV106" s="88">
        <f>ROUNDUP(IF($AU$106="nulová",0,IF(OR($AU$106="základní",$AU$106="zákl. přenesená"),$AG$106*$L$28,$AG$106*$L$29)),1)</f>
        <v>0</v>
      </c>
      <c r="BV106" s="6" t="s">
        <v>107</v>
      </c>
      <c r="BY106" s="82">
        <f>IF($AU$106="základní",$AV$106,0)</f>
        <v>0</v>
      </c>
      <c r="BZ106" s="82">
        <f>IF($AU$106="snížená",$AV$106,0)</f>
        <v>0</v>
      </c>
      <c r="CA106" s="82">
        <f>IF($AU$106="zákl. přenesená",$AV$106,0)</f>
        <v>0</v>
      </c>
      <c r="CB106" s="82">
        <f>IF($AU$106="sníž. přenesená",$AV$106,0)</f>
        <v>0</v>
      </c>
      <c r="CC106" s="82">
        <f>IF($AU$106="nulová",$AV$106,0)</f>
        <v>0</v>
      </c>
      <c r="CD106" s="82">
        <f>IF($AU$106="základní",$AG$106,0)</f>
        <v>0</v>
      </c>
      <c r="CE106" s="82">
        <f>IF($AU$106="snížená",$AG$106,0)</f>
        <v>0</v>
      </c>
      <c r="CF106" s="82">
        <f>IF($AU$106="zákl. přenesená",$AG$106,0)</f>
        <v>0</v>
      </c>
      <c r="CG106" s="82">
        <f>IF($AU$106="sníž. přenesená",$AG$106,0)</f>
        <v>0</v>
      </c>
      <c r="CH106" s="82">
        <f>IF($AU$106="nulová",$AG$106,0)</f>
        <v>0</v>
      </c>
      <c r="CI106" s="6">
        <f>IF($AU$106="základní",1,IF($AU$106="snížená",2,IF($AU$106="zákl. přenesená",4,IF($AU$106="sníž. přenesená",5,3))))</f>
        <v>1</v>
      </c>
      <c r="CJ106" s="6">
        <f>IF($AT$106="stavební čast",1,IF(88106="investiční čast",2,3))</f>
        <v>1</v>
      </c>
      <c r="CK106" s="6">
        <f>IF($D$106="Vyplň vlastní","","x")</f>
      </c>
    </row>
    <row r="107" spans="2:43" s="6" customFormat="1" ht="12" customHeight="1">
      <c r="B107" s="21"/>
      <c r="AQ107" s="22"/>
    </row>
    <row r="108" spans="2:43" s="6" customFormat="1" ht="30.75" customHeight="1">
      <c r="B108" s="21"/>
      <c r="C108" s="89" t="s">
        <v>108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171">
        <f>ROUNDUP($AG$87+$AG$93,2)</f>
        <v>0</v>
      </c>
      <c r="AH108" s="172"/>
      <c r="AI108" s="172"/>
      <c r="AJ108" s="172"/>
      <c r="AK108" s="172"/>
      <c r="AL108" s="172"/>
      <c r="AM108" s="172"/>
      <c r="AN108" s="171">
        <f>ROUNDUP($AN$87+$AN$93,2)</f>
        <v>0</v>
      </c>
      <c r="AO108" s="172"/>
      <c r="AP108" s="172"/>
      <c r="AQ108" s="22"/>
    </row>
    <row r="109" spans="2:43" s="6" customFormat="1" ht="7.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5"/>
    </row>
  </sheetData>
  <sheetProtection/>
  <mergeCells count="86">
    <mergeCell ref="AG108:AM108"/>
    <mergeCell ref="AN108:AP108"/>
    <mergeCell ref="AR2:BE2"/>
    <mergeCell ref="D106:AB106"/>
    <mergeCell ref="AG106:AM106"/>
    <mergeCell ref="AN106:AP106"/>
    <mergeCell ref="AG87:AM87"/>
    <mergeCell ref="AN87:AP87"/>
    <mergeCell ref="AG93:AM93"/>
    <mergeCell ref="AN93:AP93"/>
    <mergeCell ref="D104:AB104"/>
    <mergeCell ref="AG104:AM104"/>
    <mergeCell ref="AN104:AP104"/>
    <mergeCell ref="D105:AB105"/>
    <mergeCell ref="AG105:AM105"/>
    <mergeCell ref="AN105:AP105"/>
    <mergeCell ref="AG101:AM101"/>
    <mergeCell ref="AN101:AP101"/>
    <mergeCell ref="AG102:AM102"/>
    <mergeCell ref="AN102:AP102"/>
    <mergeCell ref="AG103:AM103"/>
    <mergeCell ref="AN103:AP103"/>
    <mergeCell ref="AG98:AM98"/>
    <mergeCell ref="AN98:AP98"/>
    <mergeCell ref="AG99:AM99"/>
    <mergeCell ref="AN99:AP99"/>
    <mergeCell ref="AG100:AM100"/>
    <mergeCell ref="AN100:AP100"/>
    <mergeCell ref="AG95:AM95"/>
    <mergeCell ref="AN95:AP95"/>
    <mergeCell ref="AG96:AM96"/>
    <mergeCell ref="AN96:AP96"/>
    <mergeCell ref="AG97:AM97"/>
    <mergeCell ref="AN97:AP97"/>
    <mergeCell ref="AN91:AP91"/>
    <mergeCell ref="AG91:AM91"/>
    <mergeCell ref="D91:H91"/>
    <mergeCell ref="J91:AF91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4:AU10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10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2 - SO 02 Revitalizac...'!C2" tooltip="SO 02 - SO 02 Revitalizac..." display="/"/>
    <hyperlink ref="A89" location="'3a.4 - SO 3a - Úprava pos...'!C2" tooltip="3a.4 - SO 3a - Úprava pos..." display="/"/>
    <hyperlink ref="A90" location="'3b.3 - SO 3b - Úprava kan...'!C2" tooltip="3b.3 - SO 3b - Úprava kan..." display="/"/>
    <hyperlink ref="A91" location="'3c.5 - SO 3c - Úpravy děk...'!C2" tooltip="3c.5 - SO 3c - Úpravy děk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5"/>
      <c r="B1" s="202"/>
      <c r="C1" s="202"/>
      <c r="D1" s="203" t="s">
        <v>1</v>
      </c>
      <c r="E1" s="202"/>
      <c r="F1" s="204" t="s">
        <v>353</v>
      </c>
      <c r="G1" s="204"/>
      <c r="H1" s="206" t="s">
        <v>354</v>
      </c>
      <c r="I1" s="206"/>
      <c r="J1" s="206"/>
      <c r="K1" s="206"/>
      <c r="L1" s="204" t="s">
        <v>355</v>
      </c>
      <c r="M1" s="202"/>
      <c r="N1" s="202"/>
      <c r="O1" s="203" t="s">
        <v>109</v>
      </c>
      <c r="P1" s="202"/>
      <c r="Q1" s="202"/>
      <c r="R1" s="202"/>
      <c r="S1" s="204" t="s">
        <v>356</v>
      </c>
      <c r="T1" s="204"/>
      <c r="U1" s="205"/>
      <c r="V1" s="20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9" t="s">
        <v>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S2" s="173" t="s">
        <v>5</v>
      </c>
      <c r="T2" s="140"/>
      <c r="U2" s="140"/>
      <c r="V2" s="140"/>
      <c r="W2" s="140"/>
      <c r="X2" s="140"/>
      <c r="Y2" s="140"/>
      <c r="Z2" s="140"/>
      <c r="AA2" s="140"/>
      <c r="AB2" s="140"/>
      <c r="AC2" s="140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110</v>
      </c>
    </row>
    <row r="4" spans="2:46" s="2" customFormat="1" ht="37.5" customHeight="1">
      <c r="B4" s="10"/>
      <c r="C4" s="141" t="s">
        <v>111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74" t="str">
        <f>'Rekapitulace stavby'!$K$6</f>
        <v>130105 - MENDELU  - revitalizace objektu  Z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R6" s="11"/>
    </row>
    <row r="7" spans="2:18" s="6" customFormat="1" ht="18.75" customHeight="1">
      <c r="B7" s="21"/>
      <c r="D7" s="14" t="s">
        <v>112</v>
      </c>
      <c r="F7" s="145" t="s">
        <v>113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75" t="str">
        <f>'Rekapitulace stavby'!$AN$8</f>
        <v>30.05.2013</v>
      </c>
      <c r="P9" s="143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56"/>
      <c r="P11" s="143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56"/>
      <c r="P12" s="143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76" t="str">
        <f>IF('Rekapitulace stavby'!$AN$13="","",'Rekapitulace stavby'!$AN$13)</f>
        <v>Vyplň údaj</v>
      </c>
      <c r="P14" s="143"/>
      <c r="R14" s="22"/>
    </row>
    <row r="15" spans="2:18" s="6" customFormat="1" ht="18.75" customHeight="1">
      <c r="B15" s="21"/>
      <c r="E15" s="176" t="str">
        <f>IF('Rekapitulace stavby'!$E$14="","",'Rekapitulace stavby'!$E$14)</f>
        <v>Vyplň údaj</v>
      </c>
      <c r="F15" s="143"/>
      <c r="G15" s="143"/>
      <c r="H15" s="143"/>
      <c r="I15" s="143"/>
      <c r="J15" s="143"/>
      <c r="K15" s="143"/>
      <c r="L15" s="143"/>
      <c r="M15" s="15" t="s">
        <v>27</v>
      </c>
      <c r="O15" s="176" t="str">
        <f>IF('Rekapitulace stavby'!$AN$14="","",'Rekapitulace stavby'!$AN$14)</f>
        <v>Vyplň údaj</v>
      </c>
      <c r="P15" s="143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56"/>
      <c r="P17" s="143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56"/>
      <c r="P18" s="143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56"/>
      <c r="P20" s="143"/>
      <c r="R20" s="22"/>
    </row>
    <row r="21" spans="2:18" s="6" customFormat="1" ht="18.75" customHeight="1">
      <c r="B21" s="21"/>
      <c r="E21" s="16" t="s">
        <v>34</v>
      </c>
      <c r="M21" s="15" t="s">
        <v>27</v>
      </c>
      <c r="O21" s="156"/>
      <c r="P21" s="143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114</v>
      </c>
      <c r="M24" s="147">
        <f>$N$88</f>
        <v>0</v>
      </c>
      <c r="N24" s="143"/>
      <c r="O24" s="143"/>
      <c r="P24" s="143"/>
      <c r="R24" s="22"/>
    </row>
    <row r="25" spans="2:18" s="6" customFormat="1" ht="15" customHeight="1">
      <c r="B25" s="21"/>
      <c r="D25" s="20" t="s">
        <v>101</v>
      </c>
      <c r="M25" s="147">
        <f>$N$93</f>
        <v>0</v>
      </c>
      <c r="N25" s="143"/>
      <c r="O25" s="143"/>
      <c r="P25" s="143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37</v>
      </c>
      <c r="M27" s="177">
        <f>ROUNDUP($M$24+$M$25,2)</f>
        <v>0</v>
      </c>
      <c r="N27" s="143"/>
      <c r="O27" s="143"/>
      <c r="P27" s="143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38</v>
      </c>
      <c r="E29" s="26" t="s">
        <v>39</v>
      </c>
      <c r="F29" s="27">
        <v>0.21</v>
      </c>
      <c r="G29" s="92" t="s">
        <v>40</v>
      </c>
      <c r="H29" s="178">
        <f>ROUNDUP((((SUM($BE$93:$BE$100)+SUM($BE$118:$BE$123))+SUM($BE$125:$BE$129))),2)</f>
        <v>0</v>
      </c>
      <c r="I29" s="143"/>
      <c r="J29" s="143"/>
      <c r="M29" s="178">
        <f>ROUNDUP((((SUM($BE$93:$BE$100)+SUM($BE$118:$BE$123))*$F$29)+SUM($BE$125:$BE$129)*$F$29),1)</f>
        <v>0</v>
      </c>
      <c r="N29" s="143"/>
      <c r="O29" s="143"/>
      <c r="P29" s="143"/>
      <c r="R29" s="22"/>
    </row>
    <row r="30" spans="2:18" s="6" customFormat="1" ht="15" customHeight="1">
      <c r="B30" s="21"/>
      <c r="E30" s="26" t="s">
        <v>41</v>
      </c>
      <c r="F30" s="27">
        <v>0.15</v>
      </c>
      <c r="G30" s="92" t="s">
        <v>40</v>
      </c>
      <c r="H30" s="178">
        <f>ROUNDUP((((SUM($BF$93:$BF$100)+SUM($BF$118:$BF$123))+SUM($BF$125:$BF$129))),2)</f>
        <v>0</v>
      </c>
      <c r="I30" s="143"/>
      <c r="J30" s="143"/>
      <c r="M30" s="178">
        <f>ROUNDUP((((SUM($BF$93:$BF$100)+SUM($BF$118:$BF$123))*$F$30)+SUM($BF$125:$BF$129)*$F$30),1)</f>
        <v>0</v>
      </c>
      <c r="N30" s="143"/>
      <c r="O30" s="143"/>
      <c r="P30" s="143"/>
      <c r="R30" s="22"/>
    </row>
    <row r="31" spans="2:18" s="6" customFormat="1" ht="15" customHeight="1" hidden="1">
      <c r="B31" s="21"/>
      <c r="E31" s="26" t="s">
        <v>42</v>
      </c>
      <c r="F31" s="27">
        <v>0.21</v>
      </c>
      <c r="G31" s="92" t="s">
        <v>40</v>
      </c>
      <c r="H31" s="178">
        <f>ROUNDUP((((SUM($BG$93:$BG$100)+SUM($BG$118:$BG$123))+SUM($BG$125:$BG$129))),2)</f>
        <v>0</v>
      </c>
      <c r="I31" s="143"/>
      <c r="J31" s="143"/>
      <c r="M31" s="178">
        <v>0</v>
      </c>
      <c r="N31" s="143"/>
      <c r="O31" s="143"/>
      <c r="P31" s="143"/>
      <c r="R31" s="22"/>
    </row>
    <row r="32" spans="2:18" s="6" customFormat="1" ht="15" customHeight="1" hidden="1">
      <c r="B32" s="21"/>
      <c r="E32" s="26" t="s">
        <v>43</v>
      </c>
      <c r="F32" s="27">
        <v>0.15</v>
      </c>
      <c r="G32" s="92" t="s">
        <v>40</v>
      </c>
      <c r="H32" s="178">
        <f>ROUNDUP((((SUM($BH$93:$BH$100)+SUM($BH$118:$BH$123))+SUM($BH$125:$BH$129))),2)</f>
        <v>0</v>
      </c>
      <c r="I32" s="143"/>
      <c r="J32" s="143"/>
      <c r="M32" s="178">
        <v>0</v>
      </c>
      <c r="N32" s="143"/>
      <c r="O32" s="143"/>
      <c r="P32" s="143"/>
      <c r="R32" s="22"/>
    </row>
    <row r="33" spans="2:18" s="6" customFormat="1" ht="15" customHeight="1" hidden="1">
      <c r="B33" s="21"/>
      <c r="E33" s="26" t="s">
        <v>44</v>
      </c>
      <c r="F33" s="27">
        <v>0</v>
      </c>
      <c r="G33" s="92" t="s">
        <v>40</v>
      </c>
      <c r="H33" s="178">
        <f>ROUNDUP((((SUM($BI$93:$BI$100)+SUM($BI$118:$BI$123))+SUM($BI$125:$BI$129))),2)</f>
        <v>0</v>
      </c>
      <c r="I33" s="143"/>
      <c r="J33" s="143"/>
      <c r="M33" s="178">
        <v>0</v>
      </c>
      <c r="N33" s="143"/>
      <c r="O33" s="143"/>
      <c r="P33" s="143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45</v>
      </c>
      <c r="E35" s="32"/>
      <c r="F35" s="32"/>
      <c r="G35" s="93" t="s">
        <v>46</v>
      </c>
      <c r="H35" s="33" t="s">
        <v>47</v>
      </c>
      <c r="I35" s="32"/>
      <c r="J35" s="32"/>
      <c r="K35" s="32"/>
      <c r="L35" s="154">
        <f>ROUNDUP(SUM($M$27:$M$33),2)</f>
        <v>0</v>
      </c>
      <c r="M35" s="153"/>
      <c r="N35" s="153"/>
      <c r="O35" s="153"/>
      <c r="P35" s="155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48</v>
      </c>
      <c r="E50" s="35"/>
      <c r="F50" s="35"/>
      <c r="G50" s="35"/>
      <c r="H50" s="36"/>
      <c r="J50" s="34" t="s">
        <v>49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50</v>
      </c>
      <c r="E59" s="40"/>
      <c r="F59" s="40"/>
      <c r="G59" s="41" t="s">
        <v>51</v>
      </c>
      <c r="H59" s="42"/>
      <c r="J59" s="39" t="s">
        <v>50</v>
      </c>
      <c r="K59" s="40"/>
      <c r="L59" s="40"/>
      <c r="M59" s="40"/>
      <c r="N59" s="41" t="s">
        <v>51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52</v>
      </c>
      <c r="E61" s="35"/>
      <c r="F61" s="35"/>
      <c r="G61" s="35"/>
      <c r="H61" s="36"/>
      <c r="J61" s="34" t="s">
        <v>53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50</v>
      </c>
      <c r="E70" s="40"/>
      <c r="F70" s="40"/>
      <c r="G70" s="41" t="s">
        <v>51</v>
      </c>
      <c r="H70" s="42"/>
      <c r="J70" s="39" t="s">
        <v>50</v>
      </c>
      <c r="K70" s="40"/>
      <c r="L70" s="40"/>
      <c r="M70" s="40"/>
      <c r="N70" s="41" t="s">
        <v>51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1" t="s">
        <v>115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4" t="str">
        <f>$F$6</f>
        <v>130105 - MENDELU  - revitalizace objektu  Z</v>
      </c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R78" s="22"/>
    </row>
    <row r="79" spans="2:18" s="6" customFormat="1" ht="15" customHeight="1">
      <c r="B79" s="21"/>
      <c r="C79" s="14" t="s">
        <v>112</v>
      </c>
      <c r="F79" s="145" t="str">
        <f>$F$7</f>
        <v>SO 02 - SO 02 Revitalizace střešních plášťů - ZTI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BRNO</v>
      </c>
      <c r="K81" s="15" t="s">
        <v>20</v>
      </c>
      <c r="M81" s="179" t="str">
        <f>IF($O$9="","",$O$9)</f>
        <v>30.05.2013</v>
      </c>
      <c r="N81" s="143"/>
      <c r="O81" s="143"/>
      <c r="P81" s="143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MENDELOVA  UNIVERZITA  V  BRNĚ</v>
      </c>
      <c r="K83" s="15" t="s">
        <v>30</v>
      </c>
      <c r="M83" s="156" t="str">
        <f>$E$18</f>
        <v>ing.Helena Zámečníková Brno</v>
      </c>
      <c r="N83" s="143"/>
      <c r="O83" s="143"/>
      <c r="P83" s="143"/>
      <c r="Q83" s="143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56" t="str">
        <f>$E$21</f>
        <v>Kepertová</v>
      </c>
      <c r="N84" s="143"/>
      <c r="O84" s="143"/>
      <c r="P84" s="143"/>
      <c r="Q84" s="143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80" t="s">
        <v>116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80" t="s">
        <v>117</v>
      </c>
      <c r="O86" s="143"/>
      <c r="P86" s="143"/>
      <c r="Q86" s="143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118</v>
      </c>
      <c r="N88" s="169">
        <f>ROUNDUP($N$118,2)</f>
        <v>0</v>
      </c>
      <c r="O88" s="143"/>
      <c r="P88" s="143"/>
      <c r="Q88" s="143"/>
      <c r="R88" s="22"/>
      <c r="AU88" s="6" t="s">
        <v>119</v>
      </c>
    </row>
    <row r="89" spans="2:18" s="65" customFormat="1" ht="25.5" customHeight="1">
      <c r="B89" s="94"/>
      <c r="D89" s="95" t="s">
        <v>120</v>
      </c>
      <c r="N89" s="181">
        <f>ROUNDUP($N$119,2)</f>
        <v>0</v>
      </c>
      <c r="O89" s="182"/>
      <c r="P89" s="182"/>
      <c r="Q89" s="182"/>
      <c r="R89" s="96"/>
    </row>
    <row r="90" spans="2:18" s="90" customFormat="1" ht="21" customHeight="1">
      <c r="B90" s="97"/>
      <c r="D90" s="78" t="s">
        <v>121</v>
      </c>
      <c r="N90" s="167">
        <f>ROUNDUP($N$120,2)</f>
        <v>0</v>
      </c>
      <c r="O90" s="182"/>
      <c r="P90" s="182"/>
      <c r="Q90" s="182"/>
      <c r="R90" s="98"/>
    </row>
    <row r="91" spans="2:18" s="65" customFormat="1" ht="22.5" customHeight="1">
      <c r="B91" s="94"/>
      <c r="D91" s="95" t="s">
        <v>122</v>
      </c>
      <c r="N91" s="183">
        <f>$N$124</f>
        <v>0</v>
      </c>
      <c r="O91" s="182"/>
      <c r="P91" s="182"/>
      <c r="Q91" s="182"/>
      <c r="R91" s="96"/>
    </row>
    <row r="92" spans="2:18" s="6" customFormat="1" ht="22.5" customHeight="1">
      <c r="B92" s="21"/>
      <c r="R92" s="22"/>
    </row>
    <row r="93" spans="2:21" s="6" customFormat="1" ht="30" customHeight="1">
      <c r="B93" s="21"/>
      <c r="C93" s="60" t="s">
        <v>123</v>
      </c>
      <c r="N93" s="169">
        <f>ROUNDUP($N$94+$N$95+$N$96+$N$97+$N$98+$N$99,2)</f>
        <v>0</v>
      </c>
      <c r="O93" s="143"/>
      <c r="P93" s="143"/>
      <c r="Q93" s="143"/>
      <c r="R93" s="22"/>
      <c r="T93" s="99"/>
      <c r="U93" s="100" t="s">
        <v>38</v>
      </c>
    </row>
    <row r="94" spans="2:62" s="6" customFormat="1" ht="18.75" customHeight="1">
      <c r="B94" s="21"/>
      <c r="D94" s="168" t="s">
        <v>124</v>
      </c>
      <c r="E94" s="143"/>
      <c r="F94" s="143"/>
      <c r="G94" s="143"/>
      <c r="H94" s="143"/>
      <c r="N94" s="166">
        <f>ROUNDUP($N$88*$T$94,2)</f>
        <v>0</v>
      </c>
      <c r="O94" s="143"/>
      <c r="P94" s="143"/>
      <c r="Q94" s="143"/>
      <c r="R94" s="22"/>
      <c r="T94" s="101"/>
      <c r="U94" s="102" t="s">
        <v>39</v>
      </c>
      <c r="AY94" s="6" t="s">
        <v>125</v>
      </c>
      <c r="BE94" s="82">
        <f>IF($U$94="základní",$N$94,0)</f>
        <v>0</v>
      </c>
      <c r="BF94" s="82">
        <f>IF($U$94="snížená",$N$94,0)</f>
        <v>0</v>
      </c>
      <c r="BG94" s="82">
        <f>IF($U$94="zákl. přenesená",$N$94,0)</f>
        <v>0</v>
      </c>
      <c r="BH94" s="82">
        <f>IF($U$94="sníž. přenesená",$N$94,0)</f>
        <v>0</v>
      </c>
      <c r="BI94" s="82">
        <f>IF($U$94="nulová",$N$94,0)</f>
        <v>0</v>
      </c>
      <c r="BJ94" s="6" t="s">
        <v>17</v>
      </c>
    </row>
    <row r="95" spans="2:62" s="6" customFormat="1" ht="18.75" customHeight="1">
      <c r="B95" s="21"/>
      <c r="D95" s="168" t="s">
        <v>126</v>
      </c>
      <c r="E95" s="143"/>
      <c r="F95" s="143"/>
      <c r="G95" s="143"/>
      <c r="H95" s="143"/>
      <c r="N95" s="166">
        <f>ROUNDUP($N$88*$T$95,2)</f>
        <v>0</v>
      </c>
      <c r="O95" s="143"/>
      <c r="P95" s="143"/>
      <c r="Q95" s="143"/>
      <c r="R95" s="22"/>
      <c r="T95" s="101"/>
      <c r="U95" s="102" t="s">
        <v>39</v>
      </c>
      <c r="AY95" s="6" t="s">
        <v>125</v>
      </c>
      <c r="BE95" s="82">
        <f>IF($U$95="základní",$N$95,0)</f>
        <v>0</v>
      </c>
      <c r="BF95" s="82">
        <f>IF($U$95="snížená",$N$95,0)</f>
        <v>0</v>
      </c>
      <c r="BG95" s="82">
        <f>IF($U$95="zákl. přenesená",$N$95,0)</f>
        <v>0</v>
      </c>
      <c r="BH95" s="82">
        <f>IF($U$95="sníž. přenesená",$N$95,0)</f>
        <v>0</v>
      </c>
      <c r="BI95" s="82">
        <f>IF($U$95="nulová",$N$95,0)</f>
        <v>0</v>
      </c>
      <c r="BJ95" s="6" t="s">
        <v>17</v>
      </c>
    </row>
    <row r="96" spans="2:62" s="6" customFormat="1" ht="18.75" customHeight="1">
      <c r="B96" s="21"/>
      <c r="D96" s="168" t="s">
        <v>127</v>
      </c>
      <c r="E96" s="143"/>
      <c r="F96" s="143"/>
      <c r="G96" s="143"/>
      <c r="H96" s="143"/>
      <c r="N96" s="166">
        <f>ROUNDUP($N$88*$T$96,2)</f>
        <v>0</v>
      </c>
      <c r="O96" s="143"/>
      <c r="P96" s="143"/>
      <c r="Q96" s="143"/>
      <c r="R96" s="22"/>
      <c r="T96" s="101"/>
      <c r="U96" s="102" t="s">
        <v>39</v>
      </c>
      <c r="AY96" s="6" t="s">
        <v>125</v>
      </c>
      <c r="BE96" s="82">
        <f>IF($U$96="základní",$N$96,0)</f>
        <v>0</v>
      </c>
      <c r="BF96" s="82">
        <f>IF($U$96="snížená",$N$96,0)</f>
        <v>0</v>
      </c>
      <c r="BG96" s="82">
        <f>IF($U$96="zákl. přenesená",$N$96,0)</f>
        <v>0</v>
      </c>
      <c r="BH96" s="82">
        <f>IF($U$96="sníž. přenesená",$N$96,0)</f>
        <v>0</v>
      </c>
      <c r="BI96" s="82">
        <f>IF($U$96="nulová",$N$96,0)</f>
        <v>0</v>
      </c>
      <c r="BJ96" s="6" t="s">
        <v>17</v>
      </c>
    </row>
    <row r="97" spans="2:62" s="6" customFormat="1" ht="18.75" customHeight="1">
      <c r="B97" s="21"/>
      <c r="D97" s="168" t="s">
        <v>128</v>
      </c>
      <c r="E97" s="143"/>
      <c r="F97" s="143"/>
      <c r="G97" s="143"/>
      <c r="H97" s="143"/>
      <c r="N97" s="166">
        <f>ROUNDUP($N$88*$T$97,2)</f>
        <v>0</v>
      </c>
      <c r="O97" s="143"/>
      <c r="P97" s="143"/>
      <c r="Q97" s="143"/>
      <c r="R97" s="22"/>
      <c r="T97" s="101"/>
      <c r="U97" s="102" t="s">
        <v>39</v>
      </c>
      <c r="AY97" s="6" t="s">
        <v>125</v>
      </c>
      <c r="BE97" s="82">
        <f>IF($U$97="základní",$N$97,0)</f>
        <v>0</v>
      </c>
      <c r="BF97" s="82">
        <f>IF($U$97="snížená",$N$97,0)</f>
        <v>0</v>
      </c>
      <c r="BG97" s="82">
        <f>IF($U$97="zákl. přenesená",$N$97,0)</f>
        <v>0</v>
      </c>
      <c r="BH97" s="82">
        <f>IF($U$97="sníž. přenesená",$N$97,0)</f>
        <v>0</v>
      </c>
      <c r="BI97" s="82">
        <f>IF($U$97="nulová",$N$97,0)</f>
        <v>0</v>
      </c>
      <c r="BJ97" s="6" t="s">
        <v>17</v>
      </c>
    </row>
    <row r="98" spans="2:62" s="6" customFormat="1" ht="18.75" customHeight="1">
      <c r="B98" s="21"/>
      <c r="D98" s="168" t="s">
        <v>129</v>
      </c>
      <c r="E98" s="143"/>
      <c r="F98" s="143"/>
      <c r="G98" s="143"/>
      <c r="H98" s="143"/>
      <c r="N98" s="166">
        <f>ROUNDUP($N$88*$T$98,2)</f>
        <v>0</v>
      </c>
      <c r="O98" s="143"/>
      <c r="P98" s="143"/>
      <c r="Q98" s="143"/>
      <c r="R98" s="22"/>
      <c r="T98" s="101"/>
      <c r="U98" s="102" t="s">
        <v>39</v>
      </c>
      <c r="AY98" s="6" t="s">
        <v>125</v>
      </c>
      <c r="BE98" s="82">
        <f>IF($U$98="základní",$N$98,0)</f>
        <v>0</v>
      </c>
      <c r="BF98" s="82">
        <f>IF($U$98="snížená",$N$98,0)</f>
        <v>0</v>
      </c>
      <c r="BG98" s="82">
        <f>IF($U$98="zákl. přenesená",$N$98,0)</f>
        <v>0</v>
      </c>
      <c r="BH98" s="82">
        <f>IF($U$98="sníž. přenesená",$N$98,0)</f>
        <v>0</v>
      </c>
      <c r="BI98" s="82">
        <f>IF($U$98="nulová",$N$98,0)</f>
        <v>0</v>
      </c>
      <c r="BJ98" s="6" t="s">
        <v>17</v>
      </c>
    </row>
    <row r="99" spans="2:62" s="6" customFormat="1" ht="18.75" customHeight="1">
      <c r="B99" s="21"/>
      <c r="D99" s="78" t="s">
        <v>130</v>
      </c>
      <c r="N99" s="166">
        <f>ROUNDUP($N$88*$T$99,2)</f>
        <v>0</v>
      </c>
      <c r="O99" s="143"/>
      <c r="P99" s="143"/>
      <c r="Q99" s="143"/>
      <c r="R99" s="22"/>
      <c r="T99" s="103"/>
      <c r="U99" s="104" t="s">
        <v>39</v>
      </c>
      <c r="AY99" s="6" t="s">
        <v>131</v>
      </c>
      <c r="BE99" s="82">
        <f>IF($U$99="základní",$N$99,0)</f>
        <v>0</v>
      </c>
      <c r="BF99" s="82">
        <f>IF($U$99="snížená",$N$99,0)</f>
        <v>0</v>
      </c>
      <c r="BG99" s="82">
        <f>IF($U$99="zákl. přenesená",$N$99,0)</f>
        <v>0</v>
      </c>
      <c r="BH99" s="82">
        <f>IF($U$99="sníž. přenesená",$N$99,0)</f>
        <v>0</v>
      </c>
      <c r="BI99" s="82">
        <f>IF($U$99="nulová",$N$99,0)</f>
        <v>0</v>
      </c>
      <c r="BJ99" s="6" t="s">
        <v>17</v>
      </c>
    </row>
    <row r="100" spans="2:18" s="6" customFormat="1" ht="14.25" customHeight="1">
      <c r="B100" s="21"/>
      <c r="R100" s="22"/>
    </row>
    <row r="101" spans="2:18" s="6" customFormat="1" ht="30" customHeight="1">
      <c r="B101" s="21"/>
      <c r="C101" s="89" t="s">
        <v>108</v>
      </c>
      <c r="D101" s="30"/>
      <c r="E101" s="30"/>
      <c r="F101" s="30"/>
      <c r="G101" s="30"/>
      <c r="H101" s="30"/>
      <c r="I101" s="30"/>
      <c r="J101" s="30"/>
      <c r="K101" s="30"/>
      <c r="L101" s="171">
        <f>ROUNDUP(SUM($N$88+$N$93),2)</f>
        <v>0</v>
      </c>
      <c r="M101" s="172"/>
      <c r="N101" s="172"/>
      <c r="O101" s="172"/>
      <c r="P101" s="172"/>
      <c r="Q101" s="172"/>
      <c r="R101" s="22"/>
    </row>
    <row r="102" spans="2:18" s="6" customFormat="1" ht="7.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5"/>
    </row>
    <row r="106" spans="2:18" s="6" customFormat="1" ht="7.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/>
    </row>
    <row r="107" spans="2:18" s="6" customFormat="1" ht="37.5" customHeight="1">
      <c r="B107" s="21"/>
      <c r="C107" s="141" t="s">
        <v>132</v>
      </c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22"/>
    </row>
    <row r="108" spans="2:18" s="6" customFormat="1" ht="7.5" customHeight="1">
      <c r="B108" s="21"/>
      <c r="R108" s="22"/>
    </row>
    <row r="109" spans="2:18" s="6" customFormat="1" ht="15" customHeight="1">
      <c r="B109" s="21"/>
      <c r="C109" s="15" t="s">
        <v>14</v>
      </c>
      <c r="F109" s="174" t="str">
        <f>$F$6</f>
        <v>130105 - MENDELU  - revitalizace objektu  Z</v>
      </c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R109" s="22"/>
    </row>
    <row r="110" spans="2:18" s="6" customFormat="1" ht="15" customHeight="1">
      <c r="B110" s="21"/>
      <c r="C110" s="14" t="s">
        <v>112</v>
      </c>
      <c r="F110" s="145" t="str">
        <f>$F$7</f>
        <v>SO 02 - SO 02 Revitalizace střešních plášťů - ZTI</v>
      </c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R110" s="22"/>
    </row>
    <row r="111" spans="2:18" s="6" customFormat="1" ht="7.5" customHeight="1">
      <c r="B111" s="21"/>
      <c r="R111" s="22"/>
    </row>
    <row r="112" spans="2:18" s="6" customFormat="1" ht="18.75" customHeight="1">
      <c r="B112" s="21"/>
      <c r="C112" s="15" t="s">
        <v>18</v>
      </c>
      <c r="F112" s="16" t="str">
        <f>$F$9</f>
        <v>BRNO</v>
      </c>
      <c r="K112" s="15" t="s">
        <v>20</v>
      </c>
      <c r="M112" s="179" t="str">
        <f>IF($O$9="","",$O$9)</f>
        <v>30.05.2013</v>
      </c>
      <c r="N112" s="143"/>
      <c r="O112" s="143"/>
      <c r="P112" s="143"/>
      <c r="R112" s="22"/>
    </row>
    <row r="113" spans="2:18" s="6" customFormat="1" ht="7.5" customHeight="1">
      <c r="B113" s="21"/>
      <c r="R113" s="22"/>
    </row>
    <row r="114" spans="2:18" s="6" customFormat="1" ht="15.75" customHeight="1">
      <c r="B114" s="21"/>
      <c r="C114" s="15" t="s">
        <v>24</v>
      </c>
      <c r="F114" s="16" t="str">
        <f>$E$12</f>
        <v>MENDELOVA  UNIVERZITA  V  BRNĚ</v>
      </c>
      <c r="K114" s="15" t="s">
        <v>30</v>
      </c>
      <c r="M114" s="156" t="str">
        <f>$E$18</f>
        <v>ing.Helena Zámečníková Brno</v>
      </c>
      <c r="N114" s="143"/>
      <c r="O114" s="143"/>
      <c r="P114" s="143"/>
      <c r="Q114" s="143"/>
      <c r="R114" s="22"/>
    </row>
    <row r="115" spans="2:18" s="6" customFormat="1" ht="15" customHeight="1">
      <c r="B115" s="21"/>
      <c r="C115" s="15" t="s">
        <v>28</v>
      </c>
      <c r="F115" s="16" t="str">
        <f>IF($E$15="","",$E$15)</f>
        <v>Vyplň údaj</v>
      </c>
      <c r="K115" s="15" t="s">
        <v>33</v>
      </c>
      <c r="M115" s="156" t="str">
        <f>$E$21</f>
        <v>Kepertová</v>
      </c>
      <c r="N115" s="143"/>
      <c r="O115" s="143"/>
      <c r="P115" s="143"/>
      <c r="Q115" s="143"/>
      <c r="R115" s="22"/>
    </row>
    <row r="116" spans="2:18" s="6" customFormat="1" ht="11.25" customHeight="1">
      <c r="B116" s="21"/>
      <c r="R116" s="22"/>
    </row>
    <row r="117" spans="2:27" s="105" customFormat="1" ht="30" customHeight="1">
      <c r="B117" s="106"/>
      <c r="C117" s="107" t="s">
        <v>133</v>
      </c>
      <c r="D117" s="108" t="s">
        <v>134</v>
      </c>
      <c r="E117" s="108" t="s">
        <v>56</v>
      </c>
      <c r="F117" s="184" t="s">
        <v>135</v>
      </c>
      <c r="G117" s="185"/>
      <c r="H117" s="185"/>
      <c r="I117" s="185"/>
      <c r="J117" s="108" t="s">
        <v>136</v>
      </c>
      <c r="K117" s="108" t="s">
        <v>137</v>
      </c>
      <c r="L117" s="184" t="s">
        <v>138</v>
      </c>
      <c r="M117" s="185"/>
      <c r="N117" s="184" t="s">
        <v>139</v>
      </c>
      <c r="O117" s="185"/>
      <c r="P117" s="185"/>
      <c r="Q117" s="186"/>
      <c r="R117" s="109"/>
      <c r="T117" s="55" t="s">
        <v>140</v>
      </c>
      <c r="U117" s="56" t="s">
        <v>38</v>
      </c>
      <c r="V117" s="56" t="s">
        <v>141</v>
      </c>
      <c r="W117" s="56" t="s">
        <v>142</v>
      </c>
      <c r="X117" s="56" t="s">
        <v>143</v>
      </c>
      <c r="Y117" s="56" t="s">
        <v>144</v>
      </c>
      <c r="Z117" s="56" t="s">
        <v>145</v>
      </c>
      <c r="AA117" s="57" t="s">
        <v>146</v>
      </c>
    </row>
    <row r="118" spans="2:63" s="6" customFormat="1" ht="30" customHeight="1">
      <c r="B118" s="21"/>
      <c r="C118" s="60" t="s">
        <v>114</v>
      </c>
      <c r="N118" s="193">
        <f>$BK$118</f>
        <v>0</v>
      </c>
      <c r="O118" s="143"/>
      <c r="P118" s="143"/>
      <c r="Q118" s="143"/>
      <c r="R118" s="22"/>
      <c r="T118" s="59"/>
      <c r="U118" s="35"/>
      <c r="V118" s="35"/>
      <c r="W118" s="110">
        <f>$W$119+$W$124</f>
        <v>8.347</v>
      </c>
      <c r="X118" s="35"/>
      <c r="Y118" s="110">
        <f>$Y$119+$Y$124</f>
        <v>0.02346</v>
      </c>
      <c r="Z118" s="35"/>
      <c r="AA118" s="111">
        <f>$AA$119+$AA$124</f>
        <v>0</v>
      </c>
      <c r="AT118" s="6" t="s">
        <v>73</v>
      </c>
      <c r="AU118" s="6" t="s">
        <v>119</v>
      </c>
      <c r="BK118" s="112">
        <f>$BK$119+$BK$124</f>
        <v>0</v>
      </c>
    </row>
    <row r="119" spans="2:63" s="113" customFormat="1" ht="37.5" customHeight="1">
      <c r="B119" s="114"/>
      <c r="D119" s="115" t="s">
        <v>120</v>
      </c>
      <c r="N119" s="183">
        <f>$BK$119</f>
        <v>0</v>
      </c>
      <c r="O119" s="194"/>
      <c r="P119" s="194"/>
      <c r="Q119" s="194"/>
      <c r="R119" s="117"/>
      <c r="T119" s="118"/>
      <c r="W119" s="119">
        <f>$W$120</f>
        <v>8.347</v>
      </c>
      <c r="Y119" s="119">
        <f>$Y$120</f>
        <v>0.02346</v>
      </c>
      <c r="AA119" s="120">
        <f>$AA$120</f>
        <v>0</v>
      </c>
      <c r="AR119" s="116" t="s">
        <v>110</v>
      </c>
      <c r="AT119" s="116" t="s">
        <v>73</v>
      </c>
      <c r="AU119" s="116" t="s">
        <v>74</v>
      </c>
      <c r="AY119" s="116" t="s">
        <v>147</v>
      </c>
      <c r="BK119" s="121">
        <f>$BK$120</f>
        <v>0</v>
      </c>
    </row>
    <row r="120" spans="2:63" s="113" customFormat="1" ht="21" customHeight="1">
      <c r="B120" s="114"/>
      <c r="D120" s="122" t="s">
        <v>121</v>
      </c>
      <c r="N120" s="195">
        <f>$BK$120</f>
        <v>0</v>
      </c>
      <c r="O120" s="194"/>
      <c r="P120" s="194"/>
      <c r="Q120" s="194"/>
      <c r="R120" s="117"/>
      <c r="T120" s="118"/>
      <c r="W120" s="119">
        <f>SUM($W$121:$W$123)</f>
        <v>8.347</v>
      </c>
      <c r="Y120" s="119">
        <f>SUM($Y$121:$Y$123)</f>
        <v>0.02346</v>
      </c>
      <c r="AA120" s="120">
        <f>SUM($AA$121:$AA$123)</f>
        <v>0</v>
      </c>
      <c r="AR120" s="116" t="s">
        <v>110</v>
      </c>
      <c r="AT120" s="116" t="s">
        <v>73</v>
      </c>
      <c r="AU120" s="116" t="s">
        <v>17</v>
      </c>
      <c r="AY120" s="116" t="s">
        <v>147</v>
      </c>
      <c r="BK120" s="121">
        <f>SUM($BK$121:$BK$123)</f>
        <v>0</v>
      </c>
    </row>
    <row r="121" spans="2:64" s="6" customFormat="1" ht="27" customHeight="1">
      <c r="B121" s="21"/>
      <c r="C121" s="123" t="s">
        <v>17</v>
      </c>
      <c r="D121" s="123" t="s">
        <v>148</v>
      </c>
      <c r="E121" s="124" t="s">
        <v>149</v>
      </c>
      <c r="F121" s="187" t="s">
        <v>150</v>
      </c>
      <c r="G121" s="188"/>
      <c r="H121" s="188"/>
      <c r="I121" s="188"/>
      <c r="J121" s="125" t="s">
        <v>151</v>
      </c>
      <c r="K121" s="126">
        <v>17</v>
      </c>
      <c r="L121" s="189">
        <v>0</v>
      </c>
      <c r="M121" s="188"/>
      <c r="N121" s="190">
        <f>ROUND($L$121*$K$121,2)</f>
        <v>0</v>
      </c>
      <c r="O121" s="188"/>
      <c r="P121" s="188"/>
      <c r="Q121" s="188"/>
      <c r="R121" s="22"/>
      <c r="T121" s="127"/>
      <c r="U121" s="28" t="s">
        <v>39</v>
      </c>
      <c r="V121" s="128">
        <v>0.314</v>
      </c>
      <c r="W121" s="128">
        <f>$V$121*$K$121</f>
        <v>5.338</v>
      </c>
      <c r="X121" s="128">
        <v>0.00109</v>
      </c>
      <c r="Y121" s="128">
        <f>$X$121*$K$121</f>
        <v>0.01853</v>
      </c>
      <c r="Z121" s="128">
        <v>0</v>
      </c>
      <c r="AA121" s="129">
        <f>$Z$121*$K$121</f>
        <v>0</v>
      </c>
      <c r="AR121" s="6" t="s">
        <v>152</v>
      </c>
      <c r="AT121" s="6" t="s">
        <v>148</v>
      </c>
      <c r="AU121" s="6" t="s">
        <v>110</v>
      </c>
      <c r="AY121" s="6" t="s">
        <v>147</v>
      </c>
      <c r="BE121" s="82">
        <f>IF($U$121="základní",$N$121,0)</f>
        <v>0</v>
      </c>
      <c r="BF121" s="82">
        <f>IF($U$121="snížená",$N$121,0)</f>
        <v>0</v>
      </c>
      <c r="BG121" s="82">
        <f>IF($U$121="zákl. přenesená",$N$121,0)</f>
        <v>0</v>
      </c>
      <c r="BH121" s="82">
        <f>IF($U$121="sníž. přenesená",$N$121,0)</f>
        <v>0</v>
      </c>
      <c r="BI121" s="82">
        <f>IF($U$121="nulová",$N$121,0)</f>
        <v>0</v>
      </c>
      <c r="BJ121" s="6" t="s">
        <v>17</v>
      </c>
      <c r="BK121" s="82">
        <f>ROUND($L$121*$K$121,2)</f>
        <v>0</v>
      </c>
      <c r="BL121" s="6" t="s">
        <v>152</v>
      </c>
    </row>
    <row r="122" spans="2:64" s="6" customFormat="1" ht="27" customHeight="1">
      <c r="B122" s="21"/>
      <c r="C122" s="123" t="s">
        <v>110</v>
      </c>
      <c r="D122" s="123" t="s">
        <v>148</v>
      </c>
      <c r="E122" s="124" t="s">
        <v>153</v>
      </c>
      <c r="F122" s="187" t="s">
        <v>154</v>
      </c>
      <c r="G122" s="188"/>
      <c r="H122" s="188"/>
      <c r="I122" s="188"/>
      <c r="J122" s="125" t="s">
        <v>155</v>
      </c>
      <c r="K122" s="126">
        <v>17</v>
      </c>
      <c r="L122" s="189">
        <v>0</v>
      </c>
      <c r="M122" s="188"/>
      <c r="N122" s="190">
        <f>ROUND($L$122*$K$122,2)</f>
        <v>0</v>
      </c>
      <c r="O122" s="188"/>
      <c r="P122" s="188"/>
      <c r="Q122" s="188"/>
      <c r="R122" s="22"/>
      <c r="T122" s="127"/>
      <c r="U122" s="28" t="s">
        <v>39</v>
      </c>
      <c r="V122" s="128">
        <v>0.177</v>
      </c>
      <c r="W122" s="128">
        <f>$V$122*$K$122</f>
        <v>3.009</v>
      </c>
      <c r="X122" s="128">
        <v>0.00029</v>
      </c>
      <c r="Y122" s="128">
        <f>$X$122*$K$122</f>
        <v>0.00493</v>
      </c>
      <c r="Z122" s="128">
        <v>0</v>
      </c>
      <c r="AA122" s="129">
        <f>$Z$122*$K$122</f>
        <v>0</v>
      </c>
      <c r="AR122" s="6" t="s">
        <v>152</v>
      </c>
      <c r="AT122" s="6" t="s">
        <v>148</v>
      </c>
      <c r="AU122" s="6" t="s">
        <v>110</v>
      </c>
      <c r="AY122" s="6" t="s">
        <v>147</v>
      </c>
      <c r="BE122" s="82">
        <f>IF($U$122="základní",$N$122,0)</f>
        <v>0</v>
      </c>
      <c r="BF122" s="82">
        <f>IF($U$122="snížená",$N$122,0)</f>
        <v>0</v>
      </c>
      <c r="BG122" s="82">
        <f>IF($U$122="zákl. přenesená",$N$122,0)</f>
        <v>0</v>
      </c>
      <c r="BH122" s="82">
        <f>IF($U$122="sníž. přenesená",$N$122,0)</f>
        <v>0</v>
      </c>
      <c r="BI122" s="82">
        <f>IF($U$122="nulová",$N$122,0)</f>
        <v>0</v>
      </c>
      <c r="BJ122" s="6" t="s">
        <v>17</v>
      </c>
      <c r="BK122" s="82">
        <f>ROUND($L$122*$K$122,2)</f>
        <v>0</v>
      </c>
      <c r="BL122" s="6" t="s">
        <v>152</v>
      </c>
    </row>
    <row r="123" spans="2:64" s="6" customFormat="1" ht="27" customHeight="1">
      <c r="B123" s="21"/>
      <c r="C123" s="123" t="s">
        <v>156</v>
      </c>
      <c r="D123" s="123" t="s">
        <v>148</v>
      </c>
      <c r="E123" s="124" t="s">
        <v>157</v>
      </c>
      <c r="F123" s="187" t="s">
        <v>158</v>
      </c>
      <c r="G123" s="188"/>
      <c r="H123" s="188"/>
      <c r="I123" s="188"/>
      <c r="J123" s="125" t="s">
        <v>159</v>
      </c>
      <c r="K123" s="130">
        <v>0</v>
      </c>
      <c r="L123" s="189">
        <v>0</v>
      </c>
      <c r="M123" s="188"/>
      <c r="N123" s="190">
        <f>ROUND($L$123*$K$123,2)</f>
        <v>0</v>
      </c>
      <c r="O123" s="188"/>
      <c r="P123" s="188"/>
      <c r="Q123" s="188"/>
      <c r="R123" s="22"/>
      <c r="T123" s="127"/>
      <c r="U123" s="28" t="s">
        <v>39</v>
      </c>
      <c r="V123" s="128">
        <v>0</v>
      </c>
      <c r="W123" s="128">
        <f>$V$123*$K$123</f>
        <v>0</v>
      </c>
      <c r="X123" s="128">
        <v>0</v>
      </c>
      <c r="Y123" s="128">
        <f>$X$123*$K$123</f>
        <v>0</v>
      </c>
      <c r="Z123" s="128">
        <v>0</v>
      </c>
      <c r="AA123" s="129">
        <f>$Z$123*$K$123</f>
        <v>0</v>
      </c>
      <c r="AR123" s="6" t="s">
        <v>152</v>
      </c>
      <c r="AT123" s="6" t="s">
        <v>148</v>
      </c>
      <c r="AU123" s="6" t="s">
        <v>110</v>
      </c>
      <c r="AY123" s="6" t="s">
        <v>147</v>
      </c>
      <c r="BE123" s="82">
        <f>IF($U$123="základní",$N$123,0)</f>
        <v>0</v>
      </c>
      <c r="BF123" s="82">
        <f>IF($U$123="snížená",$N$123,0)</f>
        <v>0</v>
      </c>
      <c r="BG123" s="82">
        <f>IF($U$123="zákl. přenesená",$N$123,0)</f>
        <v>0</v>
      </c>
      <c r="BH123" s="82">
        <f>IF($U$123="sníž. přenesená",$N$123,0)</f>
        <v>0</v>
      </c>
      <c r="BI123" s="82">
        <f>IF($U$123="nulová",$N$123,0)</f>
        <v>0</v>
      </c>
      <c r="BJ123" s="6" t="s">
        <v>17</v>
      </c>
      <c r="BK123" s="82">
        <f>ROUND($L$123*$K$123,2)</f>
        <v>0</v>
      </c>
      <c r="BL123" s="6" t="s">
        <v>152</v>
      </c>
    </row>
    <row r="124" spans="2:63" s="6" customFormat="1" ht="51" customHeight="1">
      <c r="B124" s="21"/>
      <c r="D124" s="115" t="s">
        <v>160</v>
      </c>
      <c r="N124" s="183">
        <f>$BK$124</f>
        <v>0</v>
      </c>
      <c r="O124" s="143"/>
      <c r="P124" s="143"/>
      <c r="Q124" s="143"/>
      <c r="R124" s="22"/>
      <c r="T124" s="53"/>
      <c r="AA124" s="54"/>
      <c r="AT124" s="6" t="s">
        <v>73</v>
      </c>
      <c r="AU124" s="6" t="s">
        <v>74</v>
      </c>
      <c r="AY124" s="6" t="s">
        <v>161</v>
      </c>
      <c r="BK124" s="82">
        <f>SUM($BK$125:$BK$129)</f>
        <v>0</v>
      </c>
    </row>
    <row r="125" spans="2:63" s="6" customFormat="1" ht="23.25" customHeight="1">
      <c r="B125" s="21"/>
      <c r="C125" s="131"/>
      <c r="D125" s="131" t="s">
        <v>148</v>
      </c>
      <c r="E125" s="132"/>
      <c r="F125" s="191"/>
      <c r="G125" s="192"/>
      <c r="H125" s="192"/>
      <c r="I125" s="192"/>
      <c r="J125" s="133"/>
      <c r="K125" s="130"/>
      <c r="L125" s="189"/>
      <c r="M125" s="188"/>
      <c r="N125" s="190">
        <f>$BK$125</f>
        <v>0</v>
      </c>
      <c r="O125" s="188"/>
      <c r="P125" s="188"/>
      <c r="Q125" s="188"/>
      <c r="R125" s="22"/>
      <c r="T125" s="127"/>
      <c r="U125" s="134" t="s">
        <v>39</v>
      </c>
      <c r="AA125" s="54"/>
      <c r="AT125" s="6" t="s">
        <v>161</v>
      </c>
      <c r="AU125" s="6" t="s">
        <v>17</v>
      </c>
      <c r="AY125" s="6" t="s">
        <v>161</v>
      </c>
      <c r="BE125" s="82">
        <f>IF($U$125="základní",$N$125,0)</f>
        <v>0</v>
      </c>
      <c r="BF125" s="82">
        <f>IF($U$125="snížená",$N$125,0)</f>
        <v>0</v>
      </c>
      <c r="BG125" s="82">
        <f>IF($U$125="zákl. přenesená",$N$125,0)</f>
        <v>0</v>
      </c>
      <c r="BH125" s="82">
        <f>IF($U$125="sníž. přenesená",$N$125,0)</f>
        <v>0</v>
      </c>
      <c r="BI125" s="82">
        <f>IF($U$125="nulová",$N$125,0)</f>
        <v>0</v>
      </c>
      <c r="BJ125" s="6" t="s">
        <v>17</v>
      </c>
      <c r="BK125" s="82">
        <f>$L$125*$K$125</f>
        <v>0</v>
      </c>
    </row>
    <row r="126" spans="2:63" s="6" customFormat="1" ht="23.25" customHeight="1">
      <c r="B126" s="21"/>
      <c r="C126" s="131"/>
      <c r="D126" s="131" t="s">
        <v>148</v>
      </c>
      <c r="E126" s="132"/>
      <c r="F126" s="191"/>
      <c r="G126" s="192"/>
      <c r="H126" s="192"/>
      <c r="I126" s="192"/>
      <c r="J126" s="133"/>
      <c r="K126" s="130"/>
      <c r="L126" s="189"/>
      <c r="M126" s="188"/>
      <c r="N126" s="190">
        <f>$BK$126</f>
        <v>0</v>
      </c>
      <c r="O126" s="188"/>
      <c r="P126" s="188"/>
      <c r="Q126" s="188"/>
      <c r="R126" s="22"/>
      <c r="T126" s="127"/>
      <c r="U126" s="134" t="s">
        <v>39</v>
      </c>
      <c r="AA126" s="54"/>
      <c r="AT126" s="6" t="s">
        <v>161</v>
      </c>
      <c r="AU126" s="6" t="s">
        <v>17</v>
      </c>
      <c r="AY126" s="6" t="s">
        <v>161</v>
      </c>
      <c r="BE126" s="82">
        <f>IF($U$126="základní",$N$126,0)</f>
        <v>0</v>
      </c>
      <c r="BF126" s="82">
        <f>IF($U$126="snížená",$N$126,0)</f>
        <v>0</v>
      </c>
      <c r="BG126" s="82">
        <f>IF($U$126="zákl. přenesená",$N$126,0)</f>
        <v>0</v>
      </c>
      <c r="BH126" s="82">
        <f>IF($U$126="sníž. přenesená",$N$126,0)</f>
        <v>0</v>
      </c>
      <c r="BI126" s="82">
        <f>IF($U$126="nulová",$N$126,0)</f>
        <v>0</v>
      </c>
      <c r="BJ126" s="6" t="s">
        <v>17</v>
      </c>
      <c r="BK126" s="82">
        <f>$L$126*$K$126</f>
        <v>0</v>
      </c>
    </row>
    <row r="127" spans="2:63" s="6" customFormat="1" ht="23.25" customHeight="1">
      <c r="B127" s="21"/>
      <c r="C127" s="131"/>
      <c r="D127" s="131" t="s">
        <v>148</v>
      </c>
      <c r="E127" s="132"/>
      <c r="F127" s="191"/>
      <c r="G127" s="192"/>
      <c r="H127" s="192"/>
      <c r="I127" s="192"/>
      <c r="J127" s="133"/>
      <c r="K127" s="130"/>
      <c r="L127" s="189"/>
      <c r="M127" s="188"/>
      <c r="N127" s="190">
        <f>$BK$127</f>
        <v>0</v>
      </c>
      <c r="O127" s="188"/>
      <c r="P127" s="188"/>
      <c r="Q127" s="188"/>
      <c r="R127" s="22"/>
      <c r="T127" s="127"/>
      <c r="U127" s="134" t="s">
        <v>39</v>
      </c>
      <c r="AA127" s="54"/>
      <c r="AT127" s="6" t="s">
        <v>161</v>
      </c>
      <c r="AU127" s="6" t="s">
        <v>17</v>
      </c>
      <c r="AY127" s="6" t="s">
        <v>161</v>
      </c>
      <c r="BE127" s="82">
        <f>IF($U$127="základní",$N$127,0)</f>
        <v>0</v>
      </c>
      <c r="BF127" s="82">
        <f>IF($U$127="snížená",$N$127,0)</f>
        <v>0</v>
      </c>
      <c r="BG127" s="82">
        <f>IF($U$127="zákl. přenesená",$N$127,0)</f>
        <v>0</v>
      </c>
      <c r="BH127" s="82">
        <f>IF($U$127="sníž. přenesená",$N$127,0)</f>
        <v>0</v>
      </c>
      <c r="BI127" s="82">
        <f>IF($U$127="nulová",$N$127,0)</f>
        <v>0</v>
      </c>
      <c r="BJ127" s="6" t="s">
        <v>17</v>
      </c>
      <c r="BK127" s="82">
        <f>$L$127*$K$127</f>
        <v>0</v>
      </c>
    </row>
    <row r="128" spans="2:63" s="6" customFormat="1" ht="23.25" customHeight="1">
      <c r="B128" s="21"/>
      <c r="C128" s="131"/>
      <c r="D128" s="131" t="s">
        <v>148</v>
      </c>
      <c r="E128" s="132"/>
      <c r="F128" s="191"/>
      <c r="G128" s="192"/>
      <c r="H128" s="192"/>
      <c r="I128" s="192"/>
      <c r="J128" s="133"/>
      <c r="K128" s="130"/>
      <c r="L128" s="189"/>
      <c r="M128" s="188"/>
      <c r="N128" s="190">
        <f>$BK$128</f>
        <v>0</v>
      </c>
      <c r="O128" s="188"/>
      <c r="P128" s="188"/>
      <c r="Q128" s="188"/>
      <c r="R128" s="22"/>
      <c r="T128" s="127"/>
      <c r="U128" s="134" t="s">
        <v>39</v>
      </c>
      <c r="AA128" s="54"/>
      <c r="AT128" s="6" t="s">
        <v>161</v>
      </c>
      <c r="AU128" s="6" t="s">
        <v>17</v>
      </c>
      <c r="AY128" s="6" t="s">
        <v>161</v>
      </c>
      <c r="BE128" s="82">
        <f>IF($U$128="základní",$N$128,0)</f>
        <v>0</v>
      </c>
      <c r="BF128" s="82">
        <f>IF($U$128="snížená",$N$128,0)</f>
        <v>0</v>
      </c>
      <c r="BG128" s="82">
        <f>IF($U$128="zákl. přenesená",$N$128,0)</f>
        <v>0</v>
      </c>
      <c r="BH128" s="82">
        <f>IF($U$128="sníž. přenesená",$N$128,0)</f>
        <v>0</v>
      </c>
      <c r="BI128" s="82">
        <f>IF($U$128="nulová",$N$128,0)</f>
        <v>0</v>
      </c>
      <c r="BJ128" s="6" t="s">
        <v>17</v>
      </c>
      <c r="BK128" s="82">
        <f>$L$128*$K$128</f>
        <v>0</v>
      </c>
    </row>
    <row r="129" spans="2:63" s="6" customFormat="1" ht="23.25" customHeight="1">
      <c r="B129" s="21"/>
      <c r="C129" s="131"/>
      <c r="D129" s="131" t="s">
        <v>148</v>
      </c>
      <c r="E129" s="132"/>
      <c r="F129" s="191"/>
      <c r="G129" s="192"/>
      <c r="H129" s="192"/>
      <c r="I129" s="192"/>
      <c r="J129" s="133"/>
      <c r="K129" s="130"/>
      <c r="L129" s="189"/>
      <c r="M129" s="188"/>
      <c r="N129" s="190">
        <f>$BK$129</f>
        <v>0</v>
      </c>
      <c r="O129" s="188"/>
      <c r="P129" s="188"/>
      <c r="Q129" s="188"/>
      <c r="R129" s="22"/>
      <c r="T129" s="127"/>
      <c r="U129" s="134" t="s">
        <v>39</v>
      </c>
      <c r="V129" s="40"/>
      <c r="W129" s="40"/>
      <c r="X129" s="40"/>
      <c r="Y129" s="40"/>
      <c r="Z129" s="40"/>
      <c r="AA129" s="42"/>
      <c r="AT129" s="6" t="s">
        <v>161</v>
      </c>
      <c r="AU129" s="6" t="s">
        <v>17</v>
      </c>
      <c r="AY129" s="6" t="s">
        <v>161</v>
      </c>
      <c r="BE129" s="82">
        <f>IF($U$129="základní",$N$129,0)</f>
        <v>0</v>
      </c>
      <c r="BF129" s="82">
        <f>IF($U$129="snížená",$N$129,0)</f>
        <v>0</v>
      </c>
      <c r="BG129" s="82">
        <f>IF($U$129="zákl. přenesená",$N$129,0)</f>
        <v>0</v>
      </c>
      <c r="BH129" s="82">
        <f>IF($U$129="sníž. přenesená",$N$129,0)</f>
        <v>0</v>
      </c>
      <c r="BI129" s="82">
        <f>IF($U$129="nulová",$N$129,0)</f>
        <v>0</v>
      </c>
      <c r="BJ129" s="6" t="s">
        <v>17</v>
      </c>
      <c r="BK129" s="82">
        <f>$L$129*$K$129</f>
        <v>0</v>
      </c>
    </row>
    <row r="130" spans="2:18" s="6" customFormat="1" ht="7.5" customHeight="1"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5"/>
    </row>
    <row r="131" s="2" customFormat="1" ht="14.25" customHeight="1"/>
  </sheetData>
  <sheetProtection/>
  <mergeCells count="92">
    <mergeCell ref="N118:Q118"/>
    <mergeCell ref="N119:Q119"/>
    <mergeCell ref="N120:Q120"/>
    <mergeCell ref="N124:Q124"/>
    <mergeCell ref="H1:K1"/>
    <mergeCell ref="S2:AC2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5:I125"/>
    <mergeCell ref="L125:M125"/>
    <mergeCell ref="N125:Q125"/>
    <mergeCell ref="F121:I121"/>
    <mergeCell ref="L121:M121"/>
    <mergeCell ref="N121:Q121"/>
    <mergeCell ref="F122:I122"/>
    <mergeCell ref="L122:M122"/>
    <mergeCell ref="N122:Q122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9:Q89"/>
    <mergeCell ref="N90:Q90"/>
    <mergeCell ref="N91:Q91"/>
    <mergeCell ref="N93:Q93"/>
    <mergeCell ref="D94:H94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25:D130">
      <formula1>"K,M"</formula1>
    </dataValidation>
    <dataValidation type="list" allowBlank="1" showInputMessage="1" showErrorMessage="1" error="Povoleny jsou hodnoty základní, snížená, zákl. přenesená, sníž. přenesená, nulová." sqref="U125:U13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5"/>
      <c r="B1" s="202"/>
      <c r="C1" s="202"/>
      <c r="D1" s="203" t="s">
        <v>1</v>
      </c>
      <c r="E1" s="202"/>
      <c r="F1" s="204" t="s">
        <v>353</v>
      </c>
      <c r="G1" s="204"/>
      <c r="H1" s="206" t="s">
        <v>354</v>
      </c>
      <c r="I1" s="206"/>
      <c r="J1" s="206"/>
      <c r="K1" s="206"/>
      <c r="L1" s="204" t="s">
        <v>355</v>
      </c>
      <c r="M1" s="202"/>
      <c r="N1" s="202"/>
      <c r="O1" s="203" t="s">
        <v>109</v>
      </c>
      <c r="P1" s="202"/>
      <c r="Q1" s="202"/>
      <c r="R1" s="202"/>
      <c r="S1" s="204" t="s">
        <v>356</v>
      </c>
      <c r="T1" s="204"/>
      <c r="U1" s="205"/>
      <c r="V1" s="20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9" t="s">
        <v>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S2" s="173" t="s">
        <v>5</v>
      </c>
      <c r="T2" s="140"/>
      <c r="U2" s="140"/>
      <c r="V2" s="140"/>
      <c r="W2" s="140"/>
      <c r="X2" s="140"/>
      <c r="Y2" s="140"/>
      <c r="Z2" s="140"/>
      <c r="AA2" s="140"/>
      <c r="AB2" s="140"/>
      <c r="AC2" s="140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110</v>
      </c>
    </row>
    <row r="4" spans="2:46" s="2" customFormat="1" ht="37.5" customHeight="1">
      <c r="B4" s="10"/>
      <c r="C4" s="141" t="s">
        <v>111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74" t="str">
        <f>'Rekapitulace stavby'!$K$6</f>
        <v>130105 - MENDELU  - revitalizace objektu  Z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R6" s="11"/>
    </row>
    <row r="7" spans="2:18" s="6" customFormat="1" ht="18.75" customHeight="1">
      <c r="B7" s="21"/>
      <c r="D7" s="14" t="s">
        <v>112</v>
      </c>
      <c r="F7" s="145" t="s">
        <v>162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75" t="str">
        <f>'Rekapitulace stavby'!$AN$8</f>
        <v>30.05.2013</v>
      </c>
      <c r="P9" s="143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56"/>
      <c r="P11" s="143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56"/>
      <c r="P12" s="143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76" t="str">
        <f>IF('Rekapitulace stavby'!$AN$13="","",'Rekapitulace stavby'!$AN$13)</f>
        <v>Vyplň údaj</v>
      </c>
      <c r="P14" s="143"/>
      <c r="R14" s="22"/>
    </row>
    <row r="15" spans="2:18" s="6" customFormat="1" ht="18.75" customHeight="1">
      <c r="B15" s="21"/>
      <c r="E15" s="176" t="str">
        <f>IF('Rekapitulace stavby'!$E$14="","",'Rekapitulace stavby'!$E$14)</f>
        <v>Vyplň údaj</v>
      </c>
      <c r="F15" s="143"/>
      <c r="G15" s="143"/>
      <c r="H15" s="143"/>
      <c r="I15" s="143"/>
      <c r="J15" s="143"/>
      <c r="K15" s="143"/>
      <c r="L15" s="143"/>
      <c r="M15" s="15" t="s">
        <v>27</v>
      </c>
      <c r="O15" s="176" t="str">
        <f>IF('Rekapitulace stavby'!$AN$14="","",'Rekapitulace stavby'!$AN$14)</f>
        <v>Vyplň údaj</v>
      </c>
      <c r="P15" s="143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56"/>
      <c r="P17" s="143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56"/>
      <c r="P18" s="143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56"/>
      <c r="P20" s="143"/>
      <c r="R20" s="22"/>
    </row>
    <row r="21" spans="2:18" s="6" customFormat="1" ht="18.75" customHeight="1">
      <c r="B21" s="21"/>
      <c r="E21" s="16" t="s">
        <v>34</v>
      </c>
      <c r="M21" s="15" t="s">
        <v>27</v>
      </c>
      <c r="O21" s="156"/>
      <c r="P21" s="143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114</v>
      </c>
      <c r="M24" s="147">
        <f>$N$88</f>
        <v>0</v>
      </c>
      <c r="N24" s="143"/>
      <c r="O24" s="143"/>
      <c r="P24" s="143"/>
      <c r="R24" s="22"/>
    </row>
    <row r="25" spans="2:18" s="6" customFormat="1" ht="15" customHeight="1">
      <c r="B25" s="21"/>
      <c r="D25" s="20" t="s">
        <v>101</v>
      </c>
      <c r="M25" s="147">
        <f>$N$100</f>
        <v>0</v>
      </c>
      <c r="N25" s="143"/>
      <c r="O25" s="143"/>
      <c r="P25" s="143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37</v>
      </c>
      <c r="M27" s="177">
        <f>ROUNDUP($M$24+$M$25,2)</f>
        <v>0</v>
      </c>
      <c r="N27" s="143"/>
      <c r="O27" s="143"/>
      <c r="P27" s="143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38</v>
      </c>
      <c r="E29" s="26" t="s">
        <v>39</v>
      </c>
      <c r="F29" s="27">
        <v>0.21</v>
      </c>
      <c r="G29" s="92" t="s">
        <v>40</v>
      </c>
      <c r="H29" s="178">
        <f>ROUNDUP((((SUM($BE$100:$BE$107)+SUM($BE$125:$BE$185))+SUM($BE$187:$BE$191))),2)</f>
        <v>0</v>
      </c>
      <c r="I29" s="143"/>
      <c r="J29" s="143"/>
      <c r="M29" s="178">
        <f>ROUNDUP((((SUM($BE$100:$BE$107)+SUM($BE$125:$BE$185))*$F$29)+SUM($BE$187:$BE$191)*$F$29),1)</f>
        <v>0</v>
      </c>
      <c r="N29" s="143"/>
      <c r="O29" s="143"/>
      <c r="P29" s="143"/>
      <c r="R29" s="22"/>
    </row>
    <row r="30" spans="2:18" s="6" customFormat="1" ht="15" customHeight="1">
      <c r="B30" s="21"/>
      <c r="E30" s="26" t="s">
        <v>41</v>
      </c>
      <c r="F30" s="27">
        <v>0.15</v>
      </c>
      <c r="G30" s="92" t="s">
        <v>40</v>
      </c>
      <c r="H30" s="178">
        <f>ROUNDUP((((SUM($BF$100:$BF$107)+SUM($BF$125:$BF$185))+SUM($BF$187:$BF$191))),2)</f>
        <v>0</v>
      </c>
      <c r="I30" s="143"/>
      <c r="J30" s="143"/>
      <c r="M30" s="178">
        <f>ROUNDUP((((SUM($BF$100:$BF$107)+SUM($BF$125:$BF$185))*$F$30)+SUM($BF$187:$BF$191)*$F$30),1)</f>
        <v>0</v>
      </c>
      <c r="N30" s="143"/>
      <c r="O30" s="143"/>
      <c r="P30" s="143"/>
      <c r="R30" s="22"/>
    </row>
    <row r="31" spans="2:18" s="6" customFormat="1" ht="15" customHeight="1" hidden="1">
      <c r="B31" s="21"/>
      <c r="E31" s="26" t="s">
        <v>42</v>
      </c>
      <c r="F31" s="27">
        <v>0.21</v>
      </c>
      <c r="G31" s="92" t="s">
        <v>40</v>
      </c>
      <c r="H31" s="178">
        <f>ROUNDUP((((SUM($BG$100:$BG$107)+SUM($BG$125:$BG$185))+SUM($BG$187:$BG$191))),2)</f>
        <v>0</v>
      </c>
      <c r="I31" s="143"/>
      <c r="J31" s="143"/>
      <c r="M31" s="178">
        <v>0</v>
      </c>
      <c r="N31" s="143"/>
      <c r="O31" s="143"/>
      <c r="P31" s="143"/>
      <c r="R31" s="22"/>
    </row>
    <row r="32" spans="2:18" s="6" customFormat="1" ht="15" customHeight="1" hidden="1">
      <c r="B32" s="21"/>
      <c r="E32" s="26" t="s">
        <v>43</v>
      </c>
      <c r="F32" s="27">
        <v>0.15</v>
      </c>
      <c r="G32" s="92" t="s">
        <v>40</v>
      </c>
      <c r="H32" s="178">
        <f>ROUNDUP((((SUM($BH$100:$BH$107)+SUM($BH$125:$BH$185))+SUM($BH$187:$BH$191))),2)</f>
        <v>0</v>
      </c>
      <c r="I32" s="143"/>
      <c r="J32" s="143"/>
      <c r="M32" s="178">
        <v>0</v>
      </c>
      <c r="N32" s="143"/>
      <c r="O32" s="143"/>
      <c r="P32" s="143"/>
      <c r="R32" s="22"/>
    </row>
    <row r="33" spans="2:18" s="6" customFormat="1" ht="15" customHeight="1" hidden="1">
      <c r="B33" s="21"/>
      <c r="E33" s="26" t="s">
        <v>44</v>
      </c>
      <c r="F33" s="27">
        <v>0</v>
      </c>
      <c r="G33" s="92" t="s">
        <v>40</v>
      </c>
      <c r="H33" s="178">
        <f>ROUNDUP((((SUM($BI$100:$BI$107)+SUM($BI$125:$BI$185))+SUM($BI$187:$BI$191))),2)</f>
        <v>0</v>
      </c>
      <c r="I33" s="143"/>
      <c r="J33" s="143"/>
      <c r="M33" s="178">
        <v>0</v>
      </c>
      <c r="N33" s="143"/>
      <c r="O33" s="143"/>
      <c r="P33" s="143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45</v>
      </c>
      <c r="E35" s="32"/>
      <c r="F35" s="32"/>
      <c r="G35" s="93" t="s">
        <v>46</v>
      </c>
      <c r="H35" s="33" t="s">
        <v>47</v>
      </c>
      <c r="I35" s="32"/>
      <c r="J35" s="32"/>
      <c r="K35" s="32"/>
      <c r="L35" s="154">
        <f>ROUNDUP(SUM($M$27:$M$33),2)</f>
        <v>0</v>
      </c>
      <c r="M35" s="153"/>
      <c r="N35" s="153"/>
      <c r="O35" s="153"/>
      <c r="P35" s="155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48</v>
      </c>
      <c r="E50" s="35"/>
      <c r="F50" s="35"/>
      <c r="G50" s="35"/>
      <c r="H50" s="36"/>
      <c r="J50" s="34" t="s">
        <v>49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50</v>
      </c>
      <c r="E59" s="40"/>
      <c r="F59" s="40"/>
      <c r="G59" s="41" t="s">
        <v>51</v>
      </c>
      <c r="H59" s="42"/>
      <c r="J59" s="39" t="s">
        <v>50</v>
      </c>
      <c r="K59" s="40"/>
      <c r="L59" s="40"/>
      <c r="M59" s="40"/>
      <c r="N59" s="41" t="s">
        <v>51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52</v>
      </c>
      <c r="E61" s="35"/>
      <c r="F61" s="35"/>
      <c r="G61" s="35"/>
      <c r="H61" s="36"/>
      <c r="J61" s="34" t="s">
        <v>53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50</v>
      </c>
      <c r="E70" s="40"/>
      <c r="F70" s="40"/>
      <c r="G70" s="41" t="s">
        <v>51</v>
      </c>
      <c r="H70" s="42"/>
      <c r="J70" s="39" t="s">
        <v>50</v>
      </c>
      <c r="K70" s="40"/>
      <c r="L70" s="40"/>
      <c r="M70" s="40"/>
      <c r="N70" s="41" t="s">
        <v>51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1" t="s">
        <v>115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4" t="str">
        <f>$F$6</f>
        <v>130105 - MENDELU  - revitalizace objektu  Z</v>
      </c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R78" s="22"/>
    </row>
    <row r="79" spans="2:18" s="6" customFormat="1" ht="15" customHeight="1">
      <c r="B79" s="21"/>
      <c r="C79" s="14" t="s">
        <v>112</v>
      </c>
      <c r="F79" s="145" t="str">
        <f>$F$7</f>
        <v>3a.4 - SO 3a - Úprava poslucháren a nová WC ve 2.NP - ZTI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BRNO</v>
      </c>
      <c r="K81" s="15" t="s">
        <v>20</v>
      </c>
      <c r="M81" s="179" t="str">
        <f>IF($O$9="","",$O$9)</f>
        <v>30.05.2013</v>
      </c>
      <c r="N81" s="143"/>
      <c r="O81" s="143"/>
      <c r="P81" s="143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MENDELOVA  UNIVERZITA  V  BRNĚ</v>
      </c>
      <c r="K83" s="15" t="s">
        <v>30</v>
      </c>
      <c r="M83" s="156" t="str">
        <f>$E$18</f>
        <v>ing.Helena Zámečníková Brno</v>
      </c>
      <c r="N83" s="143"/>
      <c r="O83" s="143"/>
      <c r="P83" s="143"/>
      <c r="Q83" s="143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56" t="str">
        <f>$E$21</f>
        <v>Kepertová</v>
      </c>
      <c r="N84" s="143"/>
      <c r="O84" s="143"/>
      <c r="P84" s="143"/>
      <c r="Q84" s="143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80" t="s">
        <v>116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80" t="s">
        <v>117</v>
      </c>
      <c r="O86" s="143"/>
      <c r="P86" s="143"/>
      <c r="Q86" s="143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118</v>
      </c>
      <c r="N88" s="169">
        <f>ROUNDUP($N$125,2)</f>
        <v>0</v>
      </c>
      <c r="O88" s="143"/>
      <c r="P88" s="143"/>
      <c r="Q88" s="143"/>
      <c r="R88" s="22"/>
      <c r="AU88" s="6" t="s">
        <v>119</v>
      </c>
    </row>
    <row r="89" spans="2:18" s="65" customFormat="1" ht="25.5" customHeight="1">
      <c r="B89" s="94"/>
      <c r="D89" s="95" t="s">
        <v>163</v>
      </c>
      <c r="N89" s="181">
        <f>ROUNDUP($N$126,2)</f>
        <v>0</v>
      </c>
      <c r="O89" s="182"/>
      <c r="P89" s="182"/>
      <c r="Q89" s="182"/>
      <c r="R89" s="96"/>
    </row>
    <row r="90" spans="2:18" s="90" customFormat="1" ht="21" customHeight="1">
      <c r="B90" s="97"/>
      <c r="D90" s="78" t="s">
        <v>164</v>
      </c>
      <c r="N90" s="167">
        <f>ROUNDUP($N$127,2)</f>
        <v>0</v>
      </c>
      <c r="O90" s="182"/>
      <c r="P90" s="182"/>
      <c r="Q90" s="182"/>
      <c r="R90" s="98"/>
    </row>
    <row r="91" spans="2:18" s="90" customFormat="1" ht="21" customHeight="1">
      <c r="B91" s="97"/>
      <c r="D91" s="78" t="s">
        <v>165</v>
      </c>
      <c r="N91" s="167">
        <f>ROUNDUP($N$130,2)</f>
        <v>0</v>
      </c>
      <c r="O91" s="182"/>
      <c r="P91" s="182"/>
      <c r="Q91" s="182"/>
      <c r="R91" s="98"/>
    </row>
    <row r="92" spans="2:18" s="90" customFormat="1" ht="15.75" customHeight="1">
      <c r="B92" s="97"/>
      <c r="D92" s="78" t="s">
        <v>166</v>
      </c>
      <c r="N92" s="167">
        <f>ROUNDUP($N$131,2)</f>
        <v>0</v>
      </c>
      <c r="O92" s="182"/>
      <c r="P92" s="182"/>
      <c r="Q92" s="182"/>
      <c r="R92" s="98"/>
    </row>
    <row r="93" spans="2:18" s="65" customFormat="1" ht="25.5" customHeight="1">
      <c r="B93" s="94"/>
      <c r="D93" s="95" t="s">
        <v>120</v>
      </c>
      <c r="N93" s="181">
        <f>ROUNDUP($N$133,2)</f>
        <v>0</v>
      </c>
      <c r="O93" s="182"/>
      <c r="P93" s="182"/>
      <c r="Q93" s="182"/>
      <c r="R93" s="96"/>
    </row>
    <row r="94" spans="2:18" s="90" customFormat="1" ht="21" customHeight="1">
      <c r="B94" s="97"/>
      <c r="D94" s="78" t="s">
        <v>121</v>
      </c>
      <c r="N94" s="167">
        <f>ROUNDUP($N$134,2)</f>
        <v>0</v>
      </c>
      <c r="O94" s="182"/>
      <c r="P94" s="182"/>
      <c r="Q94" s="182"/>
      <c r="R94" s="98"/>
    </row>
    <row r="95" spans="2:18" s="90" customFormat="1" ht="21" customHeight="1">
      <c r="B95" s="97"/>
      <c r="D95" s="78" t="s">
        <v>167</v>
      </c>
      <c r="N95" s="167">
        <f>ROUNDUP($N$151,2)</f>
        <v>0</v>
      </c>
      <c r="O95" s="182"/>
      <c r="P95" s="182"/>
      <c r="Q95" s="182"/>
      <c r="R95" s="98"/>
    </row>
    <row r="96" spans="2:18" s="90" customFormat="1" ht="21" customHeight="1">
      <c r="B96" s="97"/>
      <c r="D96" s="78" t="s">
        <v>168</v>
      </c>
      <c r="N96" s="167">
        <f>ROUNDUP($N$164,2)</f>
        <v>0</v>
      </c>
      <c r="O96" s="182"/>
      <c r="P96" s="182"/>
      <c r="Q96" s="182"/>
      <c r="R96" s="98"/>
    </row>
    <row r="97" spans="2:18" s="90" customFormat="1" ht="21" customHeight="1">
      <c r="B97" s="97"/>
      <c r="D97" s="78" t="s">
        <v>169</v>
      </c>
      <c r="N97" s="167">
        <f>ROUNDUP($N$182,2)</f>
        <v>0</v>
      </c>
      <c r="O97" s="182"/>
      <c r="P97" s="182"/>
      <c r="Q97" s="182"/>
      <c r="R97" s="98"/>
    </row>
    <row r="98" spans="2:18" s="65" customFormat="1" ht="22.5" customHeight="1">
      <c r="B98" s="94"/>
      <c r="D98" s="95" t="s">
        <v>122</v>
      </c>
      <c r="N98" s="183">
        <f>$N$186</f>
        <v>0</v>
      </c>
      <c r="O98" s="182"/>
      <c r="P98" s="182"/>
      <c r="Q98" s="182"/>
      <c r="R98" s="96"/>
    </row>
    <row r="99" spans="2:18" s="6" customFormat="1" ht="22.5" customHeight="1">
      <c r="B99" s="21"/>
      <c r="R99" s="22"/>
    </row>
    <row r="100" spans="2:21" s="6" customFormat="1" ht="30" customHeight="1">
      <c r="B100" s="21"/>
      <c r="C100" s="60" t="s">
        <v>123</v>
      </c>
      <c r="N100" s="169">
        <f>ROUNDUP($N$101+$N$102+$N$103+$N$104+$N$105+$N$106,2)</f>
        <v>0</v>
      </c>
      <c r="O100" s="143"/>
      <c r="P100" s="143"/>
      <c r="Q100" s="143"/>
      <c r="R100" s="22"/>
      <c r="T100" s="99"/>
      <c r="U100" s="100" t="s">
        <v>38</v>
      </c>
    </row>
    <row r="101" spans="2:62" s="6" customFormat="1" ht="18.75" customHeight="1">
      <c r="B101" s="21"/>
      <c r="D101" s="168" t="s">
        <v>124</v>
      </c>
      <c r="E101" s="143"/>
      <c r="F101" s="143"/>
      <c r="G101" s="143"/>
      <c r="H101" s="143"/>
      <c r="N101" s="166">
        <f>ROUNDUP($N$88*$T$101,2)</f>
        <v>0</v>
      </c>
      <c r="O101" s="143"/>
      <c r="P101" s="143"/>
      <c r="Q101" s="143"/>
      <c r="R101" s="22"/>
      <c r="T101" s="101"/>
      <c r="U101" s="102" t="s">
        <v>39</v>
      </c>
      <c r="AY101" s="6" t="s">
        <v>125</v>
      </c>
      <c r="BE101" s="82">
        <f>IF($U$101="základní",$N$101,0)</f>
        <v>0</v>
      </c>
      <c r="BF101" s="82">
        <f>IF($U$101="snížená",$N$101,0)</f>
        <v>0</v>
      </c>
      <c r="BG101" s="82">
        <f>IF($U$101="zákl. přenesená",$N$101,0)</f>
        <v>0</v>
      </c>
      <c r="BH101" s="82">
        <f>IF($U$101="sníž. přenesená",$N$101,0)</f>
        <v>0</v>
      </c>
      <c r="BI101" s="82">
        <f>IF($U$101="nulová",$N$101,0)</f>
        <v>0</v>
      </c>
      <c r="BJ101" s="6" t="s">
        <v>17</v>
      </c>
    </row>
    <row r="102" spans="2:62" s="6" customFormat="1" ht="18.75" customHeight="1">
      <c r="B102" s="21"/>
      <c r="D102" s="168" t="s">
        <v>126</v>
      </c>
      <c r="E102" s="143"/>
      <c r="F102" s="143"/>
      <c r="G102" s="143"/>
      <c r="H102" s="143"/>
      <c r="N102" s="166">
        <f>ROUNDUP($N$88*$T$102,2)</f>
        <v>0</v>
      </c>
      <c r="O102" s="143"/>
      <c r="P102" s="143"/>
      <c r="Q102" s="143"/>
      <c r="R102" s="22"/>
      <c r="T102" s="101"/>
      <c r="U102" s="102" t="s">
        <v>39</v>
      </c>
      <c r="AY102" s="6" t="s">
        <v>125</v>
      </c>
      <c r="BE102" s="82">
        <f>IF($U$102="základní",$N$102,0)</f>
        <v>0</v>
      </c>
      <c r="BF102" s="82">
        <f>IF($U$102="snížená",$N$102,0)</f>
        <v>0</v>
      </c>
      <c r="BG102" s="82">
        <f>IF($U$102="zákl. přenesená",$N$102,0)</f>
        <v>0</v>
      </c>
      <c r="BH102" s="82">
        <f>IF($U$102="sníž. přenesená",$N$102,0)</f>
        <v>0</v>
      </c>
      <c r="BI102" s="82">
        <f>IF($U$102="nulová",$N$102,0)</f>
        <v>0</v>
      </c>
      <c r="BJ102" s="6" t="s">
        <v>17</v>
      </c>
    </row>
    <row r="103" spans="2:62" s="6" customFormat="1" ht="18.75" customHeight="1">
      <c r="B103" s="21"/>
      <c r="D103" s="168" t="s">
        <v>127</v>
      </c>
      <c r="E103" s="143"/>
      <c r="F103" s="143"/>
      <c r="G103" s="143"/>
      <c r="H103" s="143"/>
      <c r="N103" s="166">
        <f>ROUNDUP($N$88*$T$103,2)</f>
        <v>0</v>
      </c>
      <c r="O103" s="143"/>
      <c r="P103" s="143"/>
      <c r="Q103" s="143"/>
      <c r="R103" s="22"/>
      <c r="T103" s="101"/>
      <c r="U103" s="102" t="s">
        <v>39</v>
      </c>
      <c r="AY103" s="6" t="s">
        <v>125</v>
      </c>
      <c r="BE103" s="82">
        <f>IF($U$103="základní",$N$103,0)</f>
        <v>0</v>
      </c>
      <c r="BF103" s="82">
        <f>IF($U$103="snížená",$N$103,0)</f>
        <v>0</v>
      </c>
      <c r="BG103" s="82">
        <f>IF($U$103="zákl. přenesená",$N$103,0)</f>
        <v>0</v>
      </c>
      <c r="BH103" s="82">
        <f>IF($U$103="sníž. přenesená",$N$103,0)</f>
        <v>0</v>
      </c>
      <c r="BI103" s="82">
        <f>IF($U$103="nulová",$N$103,0)</f>
        <v>0</v>
      </c>
      <c r="BJ103" s="6" t="s">
        <v>17</v>
      </c>
    </row>
    <row r="104" spans="2:62" s="6" customFormat="1" ht="18.75" customHeight="1">
      <c r="B104" s="21"/>
      <c r="D104" s="168" t="s">
        <v>128</v>
      </c>
      <c r="E104" s="143"/>
      <c r="F104" s="143"/>
      <c r="G104" s="143"/>
      <c r="H104" s="143"/>
      <c r="N104" s="166">
        <f>ROUNDUP($N$88*$T$104,2)</f>
        <v>0</v>
      </c>
      <c r="O104" s="143"/>
      <c r="P104" s="143"/>
      <c r="Q104" s="143"/>
      <c r="R104" s="22"/>
      <c r="T104" s="101"/>
      <c r="U104" s="102" t="s">
        <v>39</v>
      </c>
      <c r="AY104" s="6" t="s">
        <v>125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6" t="s">
        <v>17</v>
      </c>
    </row>
    <row r="105" spans="2:62" s="6" customFormat="1" ht="18.75" customHeight="1">
      <c r="B105" s="21"/>
      <c r="D105" s="168" t="s">
        <v>129</v>
      </c>
      <c r="E105" s="143"/>
      <c r="F105" s="143"/>
      <c r="G105" s="143"/>
      <c r="H105" s="143"/>
      <c r="N105" s="166">
        <f>ROUNDUP($N$88*$T$105,2)</f>
        <v>0</v>
      </c>
      <c r="O105" s="143"/>
      <c r="P105" s="143"/>
      <c r="Q105" s="143"/>
      <c r="R105" s="22"/>
      <c r="T105" s="101"/>
      <c r="U105" s="102" t="s">
        <v>39</v>
      </c>
      <c r="AY105" s="6" t="s">
        <v>125</v>
      </c>
      <c r="BE105" s="82">
        <f>IF($U$105="základní",$N$105,0)</f>
        <v>0</v>
      </c>
      <c r="BF105" s="82">
        <f>IF($U$105="snížená",$N$105,0)</f>
        <v>0</v>
      </c>
      <c r="BG105" s="82">
        <f>IF($U$105="zákl. přenesená",$N$105,0)</f>
        <v>0</v>
      </c>
      <c r="BH105" s="82">
        <f>IF($U$105="sníž. přenesená",$N$105,0)</f>
        <v>0</v>
      </c>
      <c r="BI105" s="82">
        <f>IF($U$105="nulová",$N$105,0)</f>
        <v>0</v>
      </c>
      <c r="BJ105" s="6" t="s">
        <v>17</v>
      </c>
    </row>
    <row r="106" spans="2:62" s="6" customFormat="1" ht="18.75" customHeight="1">
      <c r="B106" s="21"/>
      <c r="D106" s="78" t="s">
        <v>130</v>
      </c>
      <c r="N106" s="166">
        <f>ROUNDUP($N$88*$T$106,2)</f>
        <v>0</v>
      </c>
      <c r="O106" s="143"/>
      <c r="P106" s="143"/>
      <c r="Q106" s="143"/>
      <c r="R106" s="22"/>
      <c r="T106" s="103"/>
      <c r="U106" s="104" t="s">
        <v>39</v>
      </c>
      <c r="AY106" s="6" t="s">
        <v>131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6" t="s">
        <v>17</v>
      </c>
    </row>
    <row r="107" spans="2:18" s="6" customFormat="1" ht="14.25" customHeight="1">
      <c r="B107" s="21"/>
      <c r="R107" s="22"/>
    </row>
    <row r="108" spans="2:18" s="6" customFormat="1" ht="30" customHeight="1">
      <c r="B108" s="21"/>
      <c r="C108" s="89" t="s">
        <v>108</v>
      </c>
      <c r="D108" s="30"/>
      <c r="E108" s="30"/>
      <c r="F108" s="30"/>
      <c r="G108" s="30"/>
      <c r="H108" s="30"/>
      <c r="I108" s="30"/>
      <c r="J108" s="30"/>
      <c r="K108" s="30"/>
      <c r="L108" s="171">
        <f>ROUNDUP(SUM($N$88+$N$100),2)</f>
        <v>0</v>
      </c>
      <c r="M108" s="172"/>
      <c r="N108" s="172"/>
      <c r="O108" s="172"/>
      <c r="P108" s="172"/>
      <c r="Q108" s="172"/>
      <c r="R108" s="22"/>
    </row>
    <row r="109" spans="2:18" s="6" customFormat="1" ht="7.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3" spans="2:18" s="6" customFormat="1" ht="7.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2:18" s="6" customFormat="1" ht="37.5" customHeight="1">
      <c r="B114" s="21"/>
      <c r="C114" s="141" t="s">
        <v>132</v>
      </c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22"/>
    </row>
    <row r="115" spans="2:18" s="6" customFormat="1" ht="7.5" customHeight="1">
      <c r="B115" s="21"/>
      <c r="R115" s="22"/>
    </row>
    <row r="116" spans="2:18" s="6" customFormat="1" ht="15" customHeight="1">
      <c r="B116" s="21"/>
      <c r="C116" s="15" t="s">
        <v>14</v>
      </c>
      <c r="F116" s="174" t="str">
        <f>$F$6</f>
        <v>130105 - MENDELU  - revitalizace objektu  Z</v>
      </c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R116" s="22"/>
    </row>
    <row r="117" spans="2:18" s="6" customFormat="1" ht="15" customHeight="1">
      <c r="B117" s="21"/>
      <c r="C117" s="14" t="s">
        <v>112</v>
      </c>
      <c r="F117" s="145" t="str">
        <f>$F$7</f>
        <v>3a.4 - SO 3a - Úprava poslucháren a nová WC ve 2.NP - ZTI</v>
      </c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R117" s="22"/>
    </row>
    <row r="118" spans="2:18" s="6" customFormat="1" ht="7.5" customHeight="1">
      <c r="B118" s="21"/>
      <c r="R118" s="22"/>
    </row>
    <row r="119" spans="2:18" s="6" customFormat="1" ht="18.75" customHeight="1">
      <c r="B119" s="21"/>
      <c r="C119" s="15" t="s">
        <v>18</v>
      </c>
      <c r="F119" s="16" t="str">
        <f>$F$9</f>
        <v>BRNO</v>
      </c>
      <c r="K119" s="15" t="s">
        <v>20</v>
      </c>
      <c r="M119" s="179" t="str">
        <f>IF($O$9="","",$O$9)</f>
        <v>30.05.2013</v>
      </c>
      <c r="N119" s="143"/>
      <c r="O119" s="143"/>
      <c r="P119" s="143"/>
      <c r="R119" s="22"/>
    </row>
    <row r="120" spans="2:18" s="6" customFormat="1" ht="7.5" customHeight="1">
      <c r="B120" s="21"/>
      <c r="R120" s="22"/>
    </row>
    <row r="121" spans="2:18" s="6" customFormat="1" ht="15.75" customHeight="1">
      <c r="B121" s="21"/>
      <c r="C121" s="15" t="s">
        <v>24</v>
      </c>
      <c r="F121" s="16" t="str">
        <f>$E$12</f>
        <v>MENDELOVA  UNIVERZITA  V  BRNĚ</v>
      </c>
      <c r="K121" s="15" t="s">
        <v>30</v>
      </c>
      <c r="M121" s="156" t="str">
        <f>$E$18</f>
        <v>ing.Helena Zámečníková Brno</v>
      </c>
      <c r="N121" s="143"/>
      <c r="O121" s="143"/>
      <c r="P121" s="143"/>
      <c r="Q121" s="143"/>
      <c r="R121" s="22"/>
    </row>
    <row r="122" spans="2:18" s="6" customFormat="1" ht="15" customHeight="1">
      <c r="B122" s="21"/>
      <c r="C122" s="15" t="s">
        <v>28</v>
      </c>
      <c r="F122" s="16" t="str">
        <f>IF($E$15="","",$E$15)</f>
        <v>Vyplň údaj</v>
      </c>
      <c r="K122" s="15" t="s">
        <v>33</v>
      </c>
      <c r="M122" s="156" t="str">
        <f>$E$21</f>
        <v>Kepertová</v>
      </c>
      <c r="N122" s="143"/>
      <c r="O122" s="143"/>
      <c r="P122" s="143"/>
      <c r="Q122" s="143"/>
      <c r="R122" s="22"/>
    </row>
    <row r="123" spans="2:18" s="6" customFormat="1" ht="11.25" customHeight="1">
      <c r="B123" s="21"/>
      <c r="R123" s="22"/>
    </row>
    <row r="124" spans="2:27" s="105" customFormat="1" ht="30" customHeight="1">
      <c r="B124" s="106"/>
      <c r="C124" s="107" t="s">
        <v>133</v>
      </c>
      <c r="D124" s="108" t="s">
        <v>134</v>
      </c>
      <c r="E124" s="108" t="s">
        <v>56</v>
      </c>
      <c r="F124" s="184" t="s">
        <v>135</v>
      </c>
      <c r="G124" s="185"/>
      <c r="H124" s="185"/>
      <c r="I124" s="185"/>
      <c r="J124" s="108" t="s">
        <v>136</v>
      </c>
      <c r="K124" s="108" t="s">
        <v>137</v>
      </c>
      <c r="L124" s="184" t="s">
        <v>138</v>
      </c>
      <c r="M124" s="185"/>
      <c r="N124" s="184" t="s">
        <v>139</v>
      </c>
      <c r="O124" s="185"/>
      <c r="P124" s="185"/>
      <c r="Q124" s="186"/>
      <c r="R124" s="109"/>
      <c r="T124" s="55" t="s">
        <v>140</v>
      </c>
      <c r="U124" s="56" t="s">
        <v>38</v>
      </c>
      <c r="V124" s="56" t="s">
        <v>141</v>
      </c>
      <c r="W124" s="56" t="s">
        <v>142</v>
      </c>
      <c r="X124" s="56" t="s">
        <v>143</v>
      </c>
      <c r="Y124" s="56" t="s">
        <v>144</v>
      </c>
      <c r="Z124" s="56" t="s">
        <v>145</v>
      </c>
      <c r="AA124" s="57" t="s">
        <v>146</v>
      </c>
    </row>
    <row r="125" spans="2:63" s="6" customFormat="1" ht="30" customHeight="1">
      <c r="B125" s="21"/>
      <c r="C125" s="60" t="s">
        <v>114</v>
      </c>
      <c r="N125" s="193">
        <f>$BK$125</f>
        <v>0</v>
      </c>
      <c r="O125" s="143"/>
      <c r="P125" s="143"/>
      <c r="Q125" s="143"/>
      <c r="R125" s="22"/>
      <c r="T125" s="59"/>
      <c r="U125" s="35"/>
      <c r="V125" s="35"/>
      <c r="W125" s="110">
        <f>$W$126+$W$133+$W$186</f>
        <v>214.27115400000002</v>
      </c>
      <c r="X125" s="35"/>
      <c r="Y125" s="110">
        <f>$Y$126+$Y$133+$Y$186</f>
        <v>0.8762344999999999</v>
      </c>
      <c r="Z125" s="35"/>
      <c r="AA125" s="111">
        <f>$AA$126+$AA$133+$AA$186</f>
        <v>0.06561</v>
      </c>
      <c r="AT125" s="6" t="s">
        <v>73</v>
      </c>
      <c r="AU125" s="6" t="s">
        <v>119</v>
      </c>
      <c r="BK125" s="112">
        <f>$BK$126+$BK$133+$BK$186</f>
        <v>0</v>
      </c>
    </row>
    <row r="126" spans="2:63" s="113" customFormat="1" ht="37.5" customHeight="1">
      <c r="B126" s="114"/>
      <c r="D126" s="115" t="s">
        <v>163</v>
      </c>
      <c r="N126" s="183">
        <f>$BK$126</f>
        <v>0</v>
      </c>
      <c r="O126" s="194"/>
      <c r="P126" s="194"/>
      <c r="Q126" s="194"/>
      <c r="R126" s="117"/>
      <c r="T126" s="118"/>
      <c r="W126" s="119">
        <f>$W$127+$W$130</f>
        <v>0.320954</v>
      </c>
      <c r="Y126" s="119">
        <f>$Y$127+$Y$130</f>
        <v>0.0026</v>
      </c>
      <c r="AA126" s="120">
        <f>$AA$127+$AA$130</f>
        <v>0</v>
      </c>
      <c r="AR126" s="116" t="s">
        <v>17</v>
      </c>
      <c r="AT126" s="116" t="s">
        <v>73</v>
      </c>
      <c r="AU126" s="116" t="s">
        <v>74</v>
      </c>
      <c r="AY126" s="116" t="s">
        <v>147</v>
      </c>
      <c r="BK126" s="121">
        <f>$BK$127+$BK$130</f>
        <v>0</v>
      </c>
    </row>
    <row r="127" spans="2:63" s="113" customFormat="1" ht="21" customHeight="1">
      <c r="B127" s="114"/>
      <c r="D127" s="122" t="s">
        <v>164</v>
      </c>
      <c r="N127" s="195">
        <f>$BK$127</f>
        <v>0</v>
      </c>
      <c r="O127" s="194"/>
      <c r="P127" s="194"/>
      <c r="Q127" s="194"/>
      <c r="R127" s="117"/>
      <c r="T127" s="118"/>
      <c r="W127" s="119">
        <f>SUM($W$128:$W$129)</f>
        <v>0.32</v>
      </c>
      <c r="Y127" s="119">
        <f>SUM($Y$128:$Y$129)</f>
        <v>0.0026</v>
      </c>
      <c r="AA127" s="120">
        <f>SUM($AA$128:$AA$129)</f>
        <v>0</v>
      </c>
      <c r="AR127" s="116" t="s">
        <v>17</v>
      </c>
      <c r="AT127" s="116" t="s">
        <v>73</v>
      </c>
      <c r="AU127" s="116" t="s">
        <v>17</v>
      </c>
      <c r="AY127" s="116" t="s">
        <v>147</v>
      </c>
      <c r="BK127" s="121">
        <f>SUM($BK$128:$BK$129)</f>
        <v>0</v>
      </c>
    </row>
    <row r="128" spans="2:64" s="6" customFormat="1" ht="27" customHeight="1">
      <c r="B128" s="21"/>
      <c r="C128" s="123" t="s">
        <v>17</v>
      </c>
      <c r="D128" s="123" t="s">
        <v>148</v>
      </c>
      <c r="E128" s="124" t="s">
        <v>170</v>
      </c>
      <c r="F128" s="187" t="s">
        <v>171</v>
      </c>
      <c r="G128" s="188"/>
      <c r="H128" s="188"/>
      <c r="I128" s="188"/>
      <c r="J128" s="125" t="s">
        <v>155</v>
      </c>
      <c r="K128" s="126">
        <v>2</v>
      </c>
      <c r="L128" s="189">
        <v>0</v>
      </c>
      <c r="M128" s="188"/>
      <c r="N128" s="190">
        <f>ROUND($L$128*$K$128,2)</f>
        <v>0</v>
      </c>
      <c r="O128" s="188"/>
      <c r="P128" s="188"/>
      <c r="Q128" s="188"/>
      <c r="R128" s="22"/>
      <c r="T128" s="127"/>
      <c r="U128" s="28" t="s">
        <v>39</v>
      </c>
      <c r="V128" s="128">
        <v>0.16</v>
      </c>
      <c r="W128" s="128">
        <f>$V$128*$K$128</f>
        <v>0.32</v>
      </c>
      <c r="X128" s="128">
        <v>0</v>
      </c>
      <c r="Y128" s="128">
        <f>$X$128*$K$128</f>
        <v>0</v>
      </c>
      <c r="Z128" s="128">
        <v>0</v>
      </c>
      <c r="AA128" s="129">
        <f>$Z$128*$K$128</f>
        <v>0</v>
      </c>
      <c r="AR128" s="6" t="s">
        <v>172</v>
      </c>
      <c r="AT128" s="6" t="s">
        <v>148</v>
      </c>
      <c r="AU128" s="6" t="s">
        <v>110</v>
      </c>
      <c r="AY128" s="6" t="s">
        <v>147</v>
      </c>
      <c r="BE128" s="82">
        <f>IF($U$128="základní",$N$128,0)</f>
        <v>0</v>
      </c>
      <c r="BF128" s="82">
        <f>IF($U$128="snížená",$N$128,0)</f>
        <v>0</v>
      </c>
      <c r="BG128" s="82">
        <f>IF($U$128="zákl. přenesená",$N$128,0)</f>
        <v>0</v>
      </c>
      <c r="BH128" s="82">
        <f>IF($U$128="sníž. přenesená",$N$128,0)</f>
        <v>0</v>
      </c>
      <c r="BI128" s="82">
        <f>IF($U$128="nulová",$N$128,0)</f>
        <v>0</v>
      </c>
      <c r="BJ128" s="6" t="s">
        <v>17</v>
      </c>
      <c r="BK128" s="82">
        <f>ROUND($L$128*$K$128,2)</f>
        <v>0</v>
      </c>
      <c r="BL128" s="6" t="s">
        <v>172</v>
      </c>
    </row>
    <row r="129" spans="2:64" s="6" customFormat="1" ht="15.75" customHeight="1">
      <c r="B129" s="21"/>
      <c r="C129" s="135" t="s">
        <v>110</v>
      </c>
      <c r="D129" s="135" t="s">
        <v>173</v>
      </c>
      <c r="E129" s="136" t="s">
        <v>174</v>
      </c>
      <c r="F129" s="196" t="s">
        <v>175</v>
      </c>
      <c r="G129" s="197"/>
      <c r="H129" s="197"/>
      <c r="I129" s="197"/>
      <c r="J129" s="137" t="s">
        <v>155</v>
      </c>
      <c r="K129" s="138">
        <v>2</v>
      </c>
      <c r="L129" s="198">
        <v>0</v>
      </c>
      <c r="M129" s="197"/>
      <c r="N129" s="199">
        <f>ROUND($L$129*$K$129,2)</f>
        <v>0</v>
      </c>
      <c r="O129" s="188"/>
      <c r="P129" s="188"/>
      <c r="Q129" s="188"/>
      <c r="R129" s="22"/>
      <c r="T129" s="127"/>
      <c r="U129" s="28" t="s">
        <v>39</v>
      </c>
      <c r="V129" s="128">
        <v>0</v>
      </c>
      <c r="W129" s="128">
        <f>$V$129*$K$129</f>
        <v>0</v>
      </c>
      <c r="X129" s="128">
        <v>0.0013</v>
      </c>
      <c r="Y129" s="128">
        <f>$X$129*$K$129</f>
        <v>0.0026</v>
      </c>
      <c r="Z129" s="128">
        <v>0</v>
      </c>
      <c r="AA129" s="129">
        <f>$Z$129*$K$129</f>
        <v>0</v>
      </c>
      <c r="AR129" s="6" t="s">
        <v>176</v>
      </c>
      <c r="AT129" s="6" t="s">
        <v>173</v>
      </c>
      <c r="AU129" s="6" t="s">
        <v>110</v>
      </c>
      <c r="AY129" s="6" t="s">
        <v>147</v>
      </c>
      <c r="BE129" s="82">
        <f>IF($U$129="základní",$N$129,0)</f>
        <v>0</v>
      </c>
      <c r="BF129" s="82">
        <f>IF($U$129="snížená",$N$129,0)</f>
        <v>0</v>
      </c>
      <c r="BG129" s="82">
        <f>IF($U$129="zákl. přenesená",$N$129,0)</f>
        <v>0</v>
      </c>
      <c r="BH129" s="82">
        <f>IF($U$129="sníž. přenesená",$N$129,0)</f>
        <v>0</v>
      </c>
      <c r="BI129" s="82">
        <f>IF($U$129="nulová",$N$129,0)</f>
        <v>0</v>
      </c>
      <c r="BJ129" s="6" t="s">
        <v>17</v>
      </c>
      <c r="BK129" s="82">
        <f>ROUND($L$129*$K$129,2)</f>
        <v>0</v>
      </c>
      <c r="BL129" s="6" t="s">
        <v>172</v>
      </c>
    </row>
    <row r="130" spans="2:63" s="113" customFormat="1" ht="30.75" customHeight="1">
      <c r="B130" s="114"/>
      <c r="D130" s="122" t="s">
        <v>165</v>
      </c>
      <c r="N130" s="195">
        <f>$BK$130</f>
        <v>0</v>
      </c>
      <c r="O130" s="194"/>
      <c r="P130" s="194"/>
      <c r="Q130" s="194"/>
      <c r="R130" s="117"/>
      <c r="T130" s="118"/>
      <c r="W130" s="119">
        <f>$W$131</f>
        <v>0.000954</v>
      </c>
      <c r="Y130" s="119">
        <f>$Y$131</f>
        <v>0</v>
      </c>
      <c r="AA130" s="120">
        <f>$AA$131</f>
        <v>0</v>
      </c>
      <c r="AR130" s="116" t="s">
        <v>17</v>
      </c>
      <c r="AT130" s="116" t="s">
        <v>73</v>
      </c>
      <c r="AU130" s="116" t="s">
        <v>17</v>
      </c>
      <c r="AY130" s="116" t="s">
        <v>147</v>
      </c>
      <c r="BK130" s="121">
        <f>$BK$131</f>
        <v>0</v>
      </c>
    </row>
    <row r="131" spans="2:63" s="113" customFormat="1" ht="15.75" customHeight="1">
      <c r="B131" s="114"/>
      <c r="D131" s="122" t="s">
        <v>166</v>
      </c>
      <c r="N131" s="195">
        <f>$BK$131</f>
        <v>0</v>
      </c>
      <c r="O131" s="194"/>
      <c r="P131" s="194"/>
      <c r="Q131" s="194"/>
      <c r="R131" s="117"/>
      <c r="T131" s="118"/>
      <c r="W131" s="119">
        <f>$W$132</f>
        <v>0.000954</v>
      </c>
      <c r="Y131" s="119">
        <f>$Y$132</f>
        <v>0</v>
      </c>
      <c r="AA131" s="120">
        <f>$AA$132</f>
        <v>0</v>
      </c>
      <c r="AR131" s="116" t="s">
        <v>17</v>
      </c>
      <c r="AT131" s="116" t="s">
        <v>73</v>
      </c>
      <c r="AU131" s="116" t="s">
        <v>110</v>
      </c>
      <c r="AY131" s="116" t="s">
        <v>147</v>
      </c>
      <c r="BK131" s="121">
        <f>$BK$132</f>
        <v>0</v>
      </c>
    </row>
    <row r="132" spans="2:64" s="6" customFormat="1" ht="15.75" customHeight="1">
      <c r="B132" s="21"/>
      <c r="C132" s="123" t="s">
        <v>156</v>
      </c>
      <c r="D132" s="123" t="s">
        <v>148</v>
      </c>
      <c r="E132" s="124" t="s">
        <v>177</v>
      </c>
      <c r="F132" s="187" t="s">
        <v>178</v>
      </c>
      <c r="G132" s="188"/>
      <c r="H132" s="188"/>
      <c r="I132" s="188"/>
      <c r="J132" s="125" t="s">
        <v>179</v>
      </c>
      <c r="K132" s="126">
        <v>0.003</v>
      </c>
      <c r="L132" s="189">
        <v>0</v>
      </c>
      <c r="M132" s="188"/>
      <c r="N132" s="190">
        <f>ROUND($L$132*$K$132,2)</f>
        <v>0</v>
      </c>
      <c r="O132" s="188"/>
      <c r="P132" s="188"/>
      <c r="Q132" s="188"/>
      <c r="R132" s="22"/>
      <c r="T132" s="127"/>
      <c r="U132" s="28" t="s">
        <v>39</v>
      </c>
      <c r="V132" s="128">
        <v>0.318</v>
      </c>
      <c r="W132" s="128">
        <f>$V$132*$K$132</f>
        <v>0.000954</v>
      </c>
      <c r="X132" s="128">
        <v>0</v>
      </c>
      <c r="Y132" s="128">
        <f>$X$132*$K$132</f>
        <v>0</v>
      </c>
      <c r="Z132" s="128">
        <v>0</v>
      </c>
      <c r="AA132" s="129">
        <f>$Z$132*$K$132</f>
        <v>0</v>
      </c>
      <c r="AR132" s="6" t="s">
        <v>172</v>
      </c>
      <c r="AT132" s="6" t="s">
        <v>148</v>
      </c>
      <c r="AU132" s="6" t="s">
        <v>156</v>
      </c>
      <c r="AY132" s="6" t="s">
        <v>147</v>
      </c>
      <c r="BE132" s="82">
        <f>IF($U$132="základní",$N$132,0)</f>
        <v>0</v>
      </c>
      <c r="BF132" s="82">
        <f>IF($U$132="snížená",$N$132,0)</f>
        <v>0</v>
      </c>
      <c r="BG132" s="82">
        <f>IF($U$132="zákl. přenesená",$N$132,0)</f>
        <v>0</v>
      </c>
      <c r="BH132" s="82">
        <f>IF($U$132="sníž. přenesená",$N$132,0)</f>
        <v>0</v>
      </c>
      <c r="BI132" s="82">
        <f>IF($U$132="nulová",$N$132,0)</f>
        <v>0</v>
      </c>
      <c r="BJ132" s="6" t="s">
        <v>17</v>
      </c>
      <c r="BK132" s="82">
        <f>ROUND($L$132*$K$132,2)</f>
        <v>0</v>
      </c>
      <c r="BL132" s="6" t="s">
        <v>172</v>
      </c>
    </row>
    <row r="133" spans="2:63" s="113" customFormat="1" ht="37.5" customHeight="1">
      <c r="B133" s="114"/>
      <c r="D133" s="115" t="s">
        <v>120</v>
      </c>
      <c r="N133" s="183">
        <f>$BK$133</f>
        <v>0</v>
      </c>
      <c r="O133" s="194"/>
      <c r="P133" s="194"/>
      <c r="Q133" s="194"/>
      <c r="R133" s="117"/>
      <c r="T133" s="118"/>
      <c r="W133" s="119">
        <f>$W$134+$W$151+$W$164+$W$182</f>
        <v>213.95020000000002</v>
      </c>
      <c r="Y133" s="119">
        <f>$Y$134+$Y$151+$Y$164+$Y$182</f>
        <v>0.8736344999999999</v>
      </c>
      <c r="AA133" s="120">
        <f>$AA$134+$AA$151+$AA$164+$AA$182</f>
        <v>0.06561</v>
      </c>
      <c r="AR133" s="116" t="s">
        <v>110</v>
      </c>
      <c r="AT133" s="116" t="s">
        <v>73</v>
      </c>
      <c r="AU133" s="116" t="s">
        <v>74</v>
      </c>
      <c r="AY133" s="116" t="s">
        <v>147</v>
      </c>
      <c r="BK133" s="121">
        <f>$BK$134+$BK$151+$BK$164+$BK$182</f>
        <v>0</v>
      </c>
    </row>
    <row r="134" spans="2:63" s="113" customFormat="1" ht="21" customHeight="1">
      <c r="B134" s="114"/>
      <c r="D134" s="122" t="s">
        <v>121</v>
      </c>
      <c r="N134" s="195">
        <f>$BK$134</f>
        <v>0</v>
      </c>
      <c r="O134" s="194"/>
      <c r="P134" s="194"/>
      <c r="Q134" s="194"/>
      <c r="R134" s="117"/>
      <c r="T134" s="118"/>
      <c r="W134" s="119">
        <f>SUM($W$135:$W$150)</f>
        <v>78.84070000000001</v>
      </c>
      <c r="Y134" s="119">
        <f>SUM($Y$135:$Y$150)</f>
        <v>0.07034950000000001</v>
      </c>
      <c r="AA134" s="120">
        <f>SUM($AA$135:$AA$150)</f>
        <v>0</v>
      </c>
      <c r="AR134" s="116" t="s">
        <v>110</v>
      </c>
      <c r="AT134" s="116" t="s">
        <v>73</v>
      </c>
      <c r="AU134" s="116" t="s">
        <v>17</v>
      </c>
      <c r="AY134" s="116" t="s">
        <v>147</v>
      </c>
      <c r="BK134" s="121">
        <f>SUM($BK$135:$BK$150)</f>
        <v>0</v>
      </c>
    </row>
    <row r="135" spans="2:64" s="6" customFormat="1" ht="27" customHeight="1">
      <c r="B135" s="21"/>
      <c r="C135" s="123" t="s">
        <v>172</v>
      </c>
      <c r="D135" s="123" t="s">
        <v>148</v>
      </c>
      <c r="E135" s="124" t="s">
        <v>180</v>
      </c>
      <c r="F135" s="187" t="s">
        <v>181</v>
      </c>
      <c r="G135" s="188"/>
      <c r="H135" s="188"/>
      <c r="I135" s="188"/>
      <c r="J135" s="125" t="s">
        <v>151</v>
      </c>
      <c r="K135" s="126">
        <v>13</v>
      </c>
      <c r="L135" s="189">
        <v>0</v>
      </c>
      <c r="M135" s="188"/>
      <c r="N135" s="190">
        <f>ROUND($L$135*$K$135,2)</f>
        <v>0</v>
      </c>
      <c r="O135" s="188"/>
      <c r="P135" s="188"/>
      <c r="Q135" s="188"/>
      <c r="R135" s="22"/>
      <c r="T135" s="127"/>
      <c r="U135" s="28" t="s">
        <v>39</v>
      </c>
      <c r="V135" s="128">
        <v>0.769</v>
      </c>
      <c r="W135" s="128">
        <f>$V$135*$K$135</f>
        <v>9.997</v>
      </c>
      <c r="X135" s="128">
        <v>0.00109</v>
      </c>
      <c r="Y135" s="128">
        <f>$X$135*$K$135</f>
        <v>0.01417</v>
      </c>
      <c r="Z135" s="128">
        <v>0</v>
      </c>
      <c r="AA135" s="129">
        <f>$Z$135*$K$135</f>
        <v>0</v>
      </c>
      <c r="AR135" s="6" t="s">
        <v>152</v>
      </c>
      <c r="AT135" s="6" t="s">
        <v>148</v>
      </c>
      <c r="AU135" s="6" t="s">
        <v>110</v>
      </c>
      <c r="AY135" s="6" t="s">
        <v>147</v>
      </c>
      <c r="BE135" s="82">
        <f>IF($U$135="základní",$N$135,0)</f>
        <v>0</v>
      </c>
      <c r="BF135" s="82">
        <f>IF($U$135="snížená",$N$135,0)</f>
        <v>0</v>
      </c>
      <c r="BG135" s="82">
        <f>IF($U$135="zákl. přenesená",$N$135,0)</f>
        <v>0</v>
      </c>
      <c r="BH135" s="82">
        <f>IF($U$135="sníž. přenesená",$N$135,0)</f>
        <v>0</v>
      </c>
      <c r="BI135" s="82">
        <f>IF($U$135="nulová",$N$135,0)</f>
        <v>0</v>
      </c>
      <c r="BJ135" s="6" t="s">
        <v>17</v>
      </c>
      <c r="BK135" s="82">
        <f>ROUND($L$135*$K$135,2)</f>
        <v>0</v>
      </c>
      <c r="BL135" s="6" t="s">
        <v>152</v>
      </c>
    </row>
    <row r="136" spans="2:64" s="6" customFormat="1" ht="27" customHeight="1">
      <c r="B136" s="21"/>
      <c r="C136" s="123" t="s">
        <v>182</v>
      </c>
      <c r="D136" s="123" t="s">
        <v>148</v>
      </c>
      <c r="E136" s="124" t="s">
        <v>183</v>
      </c>
      <c r="F136" s="187" t="s">
        <v>184</v>
      </c>
      <c r="G136" s="188"/>
      <c r="H136" s="188"/>
      <c r="I136" s="188"/>
      <c r="J136" s="125" t="s">
        <v>151</v>
      </c>
      <c r="K136" s="126">
        <v>11.1</v>
      </c>
      <c r="L136" s="189">
        <v>0</v>
      </c>
      <c r="M136" s="188"/>
      <c r="N136" s="190">
        <f>ROUND($L$136*$K$136,2)</f>
        <v>0</v>
      </c>
      <c r="O136" s="188"/>
      <c r="P136" s="188"/>
      <c r="Q136" s="188"/>
      <c r="R136" s="22"/>
      <c r="T136" s="127"/>
      <c r="U136" s="28" t="s">
        <v>39</v>
      </c>
      <c r="V136" s="128">
        <v>0.78</v>
      </c>
      <c r="W136" s="128">
        <f>$V$136*$K$136</f>
        <v>8.658</v>
      </c>
      <c r="X136" s="128">
        <v>0.00059</v>
      </c>
      <c r="Y136" s="128">
        <f>$X$136*$K$136</f>
        <v>0.006549</v>
      </c>
      <c r="Z136" s="128">
        <v>0</v>
      </c>
      <c r="AA136" s="129">
        <f>$Z$136*$K$136</f>
        <v>0</v>
      </c>
      <c r="AR136" s="6" t="s">
        <v>152</v>
      </c>
      <c r="AT136" s="6" t="s">
        <v>148</v>
      </c>
      <c r="AU136" s="6" t="s">
        <v>110</v>
      </c>
      <c r="AY136" s="6" t="s">
        <v>147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17</v>
      </c>
      <c r="BK136" s="82">
        <f>ROUND($L$136*$K$136,2)</f>
        <v>0</v>
      </c>
      <c r="BL136" s="6" t="s">
        <v>152</v>
      </c>
    </row>
    <row r="137" spans="2:64" s="6" customFormat="1" ht="27" customHeight="1">
      <c r="B137" s="21"/>
      <c r="C137" s="123" t="s">
        <v>185</v>
      </c>
      <c r="D137" s="123" t="s">
        <v>148</v>
      </c>
      <c r="E137" s="124" t="s">
        <v>186</v>
      </c>
      <c r="F137" s="187" t="s">
        <v>187</v>
      </c>
      <c r="G137" s="188"/>
      <c r="H137" s="188"/>
      <c r="I137" s="188"/>
      <c r="J137" s="125" t="s">
        <v>151</v>
      </c>
      <c r="K137" s="126">
        <v>8.65</v>
      </c>
      <c r="L137" s="189">
        <v>0</v>
      </c>
      <c r="M137" s="188"/>
      <c r="N137" s="190">
        <f>ROUND($L$137*$K$137,2)</f>
        <v>0</v>
      </c>
      <c r="O137" s="188"/>
      <c r="P137" s="188"/>
      <c r="Q137" s="188"/>
      <c r="R137" s="22"/>
      <c r="T137" s="127"/>
      <c r="U137" s="28" t="s">
        <v>39</v>
      </c>
      <c r="V137" s="128">
        <v>0.827</v>
      </c>
      <c r="W137" s="128">
        <f>$V$137*$K$137</f>
        <v>7.15355</v>
      </c>
      <c r="X137" s="128">
        <v>0.0012</v>
      </c>
      <c r="Y137" s="128">
        <f>$X$137*$K$137</f>
        <v>0.01038</v>
      </c>
      <c r="Z137" s="128">
        <v>0</v>
      </c>
      <c r="AA137" s="129">
        <f>$Z$137*$K$137</f>
        <v>0</v>
      </c>
      <c r="AR137" s="6" t="s">
        <v>152</v>
      </c>
      <c r="AT137" s="6" t="s">
        <v>148</v>
      </c>
      <c r="AU137" s="6" t="s">
        <v>110</v>
      </c>
      <c r="AY137" s="6" t="s">
        <v>147</v>
      </c>
      <c r="BE137" s="82">
        <f>IF($U$137="základní",$N$137,0)</f>
        <v>0</v>
      </c>
      <c r="BF137" s="82">
        <f>IF($U$137="snížená",$N$137,0)</f>
        <v>0</v>
      </c>
      <c r="BG137" s="82">
        <f>IF($U$137="zákl. přenesená",$N$137,0)</f>
        <v>0</v>
      </c>
      <c r="BH137" s="82">
        <f>IF($U$137="sníž. přenesená",$N$137,0)</f>
        <v>0</v>
      </c>
      <c r="BI137" s="82">
        <f>IF($U$137="nulová",$N$137,0)</f>
        <v>0</v>
      </c>
      <c r="BJ137" s="6" t="s">
        <v>17</v>
      </c>
      <c r="BK137" s="82">
        <f>ROUND($L$137*$K$137,2)</f>
        <v>0</v>
      </c>
      <c r="BL137" s="6" t="s">
        <v>152</v>
      </c>
    </row>
    <row r="138" spans="2:64" s="6" customFormat="1" ht="27" customHeight="1">
      <c r="B138" s="21"/>
      <c r="C138" s="123" t="s">
        <v>188</v>
      </c>
      <c r="D138" s="123" t="s">
        <v>148</v>
      </c>
      <c r="E138" s="124" t="s">
        <v>189</v>
      </c>
      <c r="F138" s="187" t="s">
        <v>190</v>
      </c>
      <c r="G138" s="188"/>
      <c r="H138" s="188"/>
      <c r="I138" s="188"/>
      <c r="J138" s="125" t="s">
        <v>151</v>
      </c>
      <c r="K138" s="126">
        <v>30.6</v>
      </c>
      <c r="L138" s="189">
        <v>0</v>
      </c>
      <c r="M138" s="188"/>
      <c r="N138" s="190">
        <f>ROUND($L$138*$K$138,2)</f>
        <v>0</v>
      </c>
      <c r="O138" s="188"/>
      <c r="P138" s="188"/>
      <c r="Q138" s="188"/>
      <c r="R138" s="22"/>
      <c r="T138" s="127"/>
      <c r="U138" s="28" t="s">
        <v>39</v>
      </c>
      <c r="V138" s="128">
        <v>0.659</v>
      </c>
      <c r="W138" s="128">
        <f>$V$138*$K$138</f>
        <v>20.1654</v>
      </c>
      <c r="X138" s="128">
        <v>0.00029</v>
      </c>
      <c r="Y138" s="128">
        <f>$X$138*$K$138</f>
        <v>0.008874</v>
      </c>
      <c r="Z138" s="128">
        <v>0</v>
      </c>
      <c r="AA138" s="129">
        <f>$Z$138*$K$138</f>
        <v>0</v>
      </c>
      <c r="AR138" s="6" t="s">
        <v>152</v>
      </c>
      <c r="AT138" s="6" t="s">
        <v>148</v>
      </c>
      <c r="AU138" s="6" t="s">
        <v>110</v>
      </c>
      <c r="AY138" s="6" t="s">
        <v>147</v>
      </c>
      <c r="BE138" s="82">
        <f>IF($U$138="základní",$N$138,0)</f>
        <v>0</v>
      </c>
      <c r="BF138" s="82">
        <f>IF($U$138="snížená",$N$138,0)</f>
        <v>0</v>
      </c>
      <c r="BG138" s="82">
        <f>IF($U$138="zákl. přenesená",$N$138,0)</f>
        <v>0</v>
      </c>
      <c r="BH138" s="82">
        <f>IF($U$138="sníž. přenesená",$N$138,0)</f>
        <v>0</v>
      </c>
      <c r="BI138" s="82">
        <f>IF($U$138="nulová",$N$138,0)</f>
        <v>0</v>
      </c>
      <c r="BJ138" s="6" t="s">
        <v>17</v>
      </c>
      <c r="BK138" s="82">
        <f>ROUND($L$138*$K$138,2)</f>
        <v>0</v>
      </c>
      <c r="BL138" s="6" t="s">
        <v>152</v>
      </c>
    </row>
    <row r="139" spans="2:64" s="6" customFormat="1" ht="27" customHeight="1">
      <c r="B139" s="21"/>
      <c r="C139" s="123" t="s">
        <v>176</v>
      </c>
      <c r="D139" s="123" t="s">
        <v>148</v>
      </c>
      <c r="E139" s="124" t="s">
        <v>191</v>
      </c>
      <c r="F139" s="187" t="s">
        <v>192</v>
      </c>
      <c r="G139" s="188"/>
      <c r="H139" s="188"/>
      <c r="I139" s="188"/>
      <c r="J139" s="125" t="s">
        <v>151</v>
      </c>
      <c r="K139" s="126">
        <v>12.1</v>
      </c>
      <c r="L139" s="189">
        <v>0</v>
      </c>
      <c r="M139" s="188"/>
      <c r="N139" s="190">
        <f>ROUND($L$139*$K$139,2)</f>
        <v>0</v>
      </c>
      <c r="O139" s="188"/>
      <c r="P139" s="188"/>
      <c r="Q139" s="188"/>
      <c r="R139" s="22"/>
      <c r="T139" s="127"/>
      <c r="U139" s="28" t="s">
        <v>39</v>
      </c>
      <c r="V139" s="128">
        <v>0.728</v>
      </c>
      <c r="W139" s="128">
        <f>$V$139*$K$139</f>
        <v>8.8088</v>
      </c>
      <c r="X139" s="128">
        <v>0.00035</v>
      </c>
      <c r="Y139" s="128">
        <f>$X$139*$K$139</f>
        <v>0.004235</v>
      </c>
      <c r="Z139" s="128">
        <v>0</v>
      </c>
      <c r="AA139" s="129">
        <f>$Z$139*$K$139</f>
        <v>0</v>
      </c>
      <c r="AR139" s="6" t="s">
        <v>152</v>
      </c>
      <c r="AT139" s="6" t="s">
        <v>148</v>
      </c>
      <c r="AU139" s="6" t="s">
        <v>110</v>
      </c>
      <c r="AY139" s="6" t="s">
        <v>147</v>
      </c>
      <c r="BE139" s="82">
        <f>IF($U$139="základní",$N$139,0)</f>
        <v>0</v>
      </c>
      <c r="BF139" s="82">
        <f>IF($U$139="snížená",$N$139,0)</f>
        <v>0</v>
      </c>
      <c r="BG139" s="82">
        <f>IF($U$139="zákl. přenesená",$N$139,0)</f>
        <v>0</v>
      </c>
      <c r="BH139" s="82">
        <f>IF($U$139="sníž. přenesená",$N$139,0)</f>
        <v>0</v>
      </c>
      <c r="BI139" s="82">
        <f>IF($U$139="nulová",$N$139,0)</f>
        <v>0</v>
      </c>
      <c r="BJ139" s="6" t="s">
        <v>17</v>
      </c>
      <c r="BK139" s="82">
        <f>ROUND($L$139*$K$139,2)</f>
        <v>0</v>
      </c>
      <c r="BL139" s="6" t="s">
        <v>152</v>
      </c>
    </row>
    <row r="140" spans="2:64" s="6" customFormat="1" ht="27" customHeight="1">
      <c r="B140" s="21"/>
      <c r="C140" s="123" t="s">
        <v>193</v>
      </c>
      <c r="D140" s="123" t="s">
        <v>148</v>
      </c>
      <c r="E140" s="124" t="s">
        <v>194</v>
      </c>
      <c r="F140" s="187" t="s">
        <v>195</v>
      </c>
      <c r="G140" s="188"/>
      <c r="H140" s="188"/>
      <c r="I140" s="188"/>
      <c r="J140" s="125" t="s">
        <v>151</v>
      </c>
      <c r="K140" s="126">
        <v>4.95</v>
      </c>
      <c r="L140" s="189">
        <v>0</v>
      </c>
      <c r="M140" s="188"/>
      <c r="N140" s="190">
        <f>ROUND($L$140*$K$140,2)</f>
        <v>0</v>
      </c>
      <c r="O140" s="188"/>
      <c r="P140" s="188"/>
      <c r="Q140" s="188"/>
      <c r="R140" s="22"/>
      <c r="T140" s="127"/>
      <c r="U140" s="28" t="s">
        <v>39</v>
      </c>
      <c r="V140" s="128">
        <v>0.797</v>
      </c>
      <c r="W140" s="128">
        <f>$V$140*$K$140</f>
        <v>3.9451500000000004</v>
      </c>
      <c r="X140" s="128">
        <v>0.00057</v>
      </c>
      <c r="Y140" s="128">
        <f>$X$140*$K$140</f>
        <v>0.0028215</v>
      </c>
      <c r="Z140" s="128">
        <v>0</v>
      </c>
      <c r="AA140" s="129">
        <f>$Z$140*$K$140</f>
        <v>0</v>
      </c>
      <c r="AR140" s="6" t="s">
        <v>152</v>
      </c>
      <c r="AT140" s="6" t="s">
        <v>148</v>
      </c>
      <c r="AU140" s="6" t="s">
        <v>110</v>
      </c>
      <c r="AY140" s="6" t="s">
        <v>147</v>
      </c>
      <c r="BE140" s="82">
        <f>IF($U$140="základní",$N$140,0)</f>
        <v>0</v>
      </c>
      <c r="BF140" s="82">
        <f>IF($U$140="snížená",$N$140,0)</f>
        <v>0</v>
      </c>
      <c r="BG140" s="82">
        <f>IF($U$140="zákl. přenesená",$N$140,0)</f>
        <v>0</v>
      </c>
      <c r="BH140" s="82">
        <f>IF($U$140="sníž. přenesená",$N$140,0)</f>
        <v>0</v>
      </c>
      <c r="BI140" s="82">
        <f>IF($U$140="nulová",$N$140,0)</f>
        <v>0</v>
      </c>
      <c r="BJ140" s="6" t="s">
        <v>17</v>
      </c>
      <c r="BK140" s="82">
        <f>ROUND($L$140*$K$140,2)</f>
        <v>0</v>
      </c>
      <c r="BL140" s="6" t="s">
        <v>152</v>
      </c>
    </row>
    <row r="141" spans="2:64" s="6" customFormat="1" ht="27" customHeight="1">
      <c r="B141" s="21"/>
      <c r="C141" s="123" t="s">
        <v>22</v>
      </c>
      <c r="D141" s="123" t="s">
        <v>148</v>
      </c>
      <c r="E141" s="124" t="s">
        <v>196</v>
      </c>
      <c r="F141" s="187" t="s">
        <v>197</v>
      </c>
      <c r="G141" s="188"/>
      <c r="H141" s="188"/>
      <c r="I141" s="188"/>
      <c r="J141" s="125" t="s">
        <v>151</v>
      </c>
      <c r="K141" s="126">
        <v>8.6</v>
      </c>
      <c r="L141" s="189">
        <v>0</v>
      </c>
      <c r="M141" s="188"/>
      <c r="N141" s="190">
        <f>ROUND($L$141*$K$141,2)</f>
        <v>0</v>
      </c>
      <c r="O141" s="188"/>
      <c r="P141" s="188"/>
      <c r="Q141" s="188"/>
      <c r="R141" s="22"/>
      <c r="T141" s="127"/>
      <c r="U141" s="28" t="s">
        <v>39</v>
      </c>
      <c r="V141" s="128">
        <v>0.832</v>
      </c>
      <c r="W141" s="128">
        <f>$V$141*$K$141</f>
        <v>7.1552</v>
      </c>
      <c r="X141" s="128">
        <v>0.00114</v>
      </c>
      <c r="Y141" s="128">
        <f>$X$141*$K$141</f>
        <v>0.009803999999999998</v>
      </c>
      <c r="Z141" s="128">
        <v>0</v>
      </c>
      <c r="AA141" s="129">
        <f>$Z$141*$K$141</f>
        <v>0</v>
      </c>
      <c r="AR141" s="6" t="s">
        <v>152</v>
      </c>
      <c r="AT141" s="6" t="s">
        <v>148</v>
      </c>
      <c r="AU141" s="6" t="s">
        <v>110</v>
      </c>
      <c r="AY141" s="6" t="s">
        <v>147</v>
      </c>
      <c r="BE141" s="82">
        <f>IF($U$141="základní",$N$141,0)</f>
        <v>0</v>
      </c>
      <c r="BF141" s="82">
        <f>IF($U$141="snížená",$N$141,0)</f>
        <v>0</v>
      </c>
      <c r="BG141" s="82">
        <f>IF($U$141="zákl. přenesená",$N$141,0)</f>
        <v>0</v>
      </c>
      <c r="BH141" s="82">
        <f>IF($U$141="sníž. přenesená",$N$141,0)</f>
        <v>0</v>
      </c>
      <c r="BI141" s="82">
        <f>IF($U$141="nulová",$N$141,0)</f>
        <v>0</v>
      </c>
      <c r="BJ141" s="6" t="s">
        <v>17</v>
      </c>
      <c r="BK141" s="82">
        <f>ROUND($L$141*$K$141,2)</f>
        <v>0</v>
      </c>
      <c r="BL141" s="6" t="s">
        <v>152</v>
      </c>
    </row>
    <row r="142" spans="2:64" s="6" customFormat="1" ht="27" customHeight="1">
      <c r="B142" s="21"/>
      <c r="C142" s="123" t="s">
        <v>198</v>
      </c>
      <c r="D142" s="123" t="s">
        <v>148</v>
      </c>
      <c r="E142" s="124" t="s">
        <v>149</v>
      </c>
      <c r="F142" s="187" t="s">
        <v>150</v>
      </c>
      <c r="G142" s="188"/>
      <c r="H142" s="188"/>
      <c r="I142" s="188"/>
      <c r="J142" s="125" t="s">
        <v>151</v>
      </c>
      <c r="K142" s="126">
        <v>12.4</v>
      </c>
      <c r="L142" s="189">
        <v>0</v>
      </c>
      <c r="M142" s="188"/>
      <c r="N142" s="190">
        <f>ROUND($L$142*$K$142,2)</f>
        <v>0</v>
      </c>
      <c r="O142" s="188"/>
      <c r="P142" s="188"/>
      <c r="Q142" s="188"/>
      <c r="R142" s="22"/>
      <c r="T142" s="127"/>
      <c r="U142" s="28" t="s">
        <v>39</v>
      </c>
      <c r="V142" s="128">
        <v>0.314</v>
      </c>
      <c r="W142" s="128">
        <f>$V$142*$K$142</f>
        <v>3.8936</v>
      </c>
      <c r="X142" s="128">
        <v>0.00109</v>
      </c>
      <c r="Y142" s="128">
        <f>$X$142*$K$142</f>
        <v>0.013516</v>
      </c>
      <c r="Z142" s="128">
        <v>0</v>
      </c>
      <c r="AA142" s="129">
        <f>$Z$142*$K$142</f>
        <v>0</v>
      </c>
      <c r="AR142" s="6" t="s">
        <v>152</v>
      </c>
      <c r="AT142" s="6" t="s">
        <v>148</v>
      </c>
      <c r="AU142" s="6" t="s">
        <v>110</v>
      </c>
      <c r="AY142" s="6" t="s">
        <v>147</v>
      </c>
      <c r="BE142" s="82">
        <f>IF($U$142="základní",$N$142,0)</f>
        <v>0</v>
      </c>
      <c r="BF142" s="82">
        <f>IF($U$142="snížená",$N$142,0)</f>
        <v>0</v>
      </c>
      <c r="BG142" s="82">
        <f>IF($U$142="zákl. přenesená",$N$142,0)</f>
        <v>0</v>
      </c>
      <c r="BH142" s="82">
        <f>IF($U$142="sníž. přenesená",$N$142,0)</f>
        <v>0</v>
      </c>
      <c r="BI142" s="82">
        <f>IF($U$142="nulová",$N$142,0)</f>
        <v>0</v>
      </c>
      <c r="BJ142" s="6" t="s">
        <v>17</v>
      </c>
      <c r="BK142" s="82">
        <f>ROUND($L$142*$K$142,2)</f>
        <v>0</v>
      </c>
      <c r="BL142" s="6" t="s">
        <v>152</v>
      </c>
    </row>
    <row r="143" spans="2:64" s="6" customFormat="1" ht="15.75" customHeight="1">
      <c r="B143" s="21"/>
      <c r="C143" s="123" t="s">
        <v>199</v>
      </c>
      <c r="D143" s="123" t="s">
        <v>148</v>
      </c>
      <c r="E143" s="124" t="s">
        <v>200</v>
      </c>
      <c r="F143" s="187" t="s">
        <v>201</v>
      </c>
      <c r="G143" s="188"/>
      <c r="H143" s="188"/>
      <c r="I143" s="188"/>
      <c r="J143" s="125" t="s">
        <v>155</v>
      </c>
      <c r="K143" s="126">
        <v>8</v>
      </c>
      <c r="L143" s="189">
        <v>0</v>
      </c>
      <c r="M143" s="188"/>
      <c r="N143" s="190">
        <f>ROUND($L$143*$K$143,2)</f>
        <v>0</v>
      </c>
      <c r="O143" s="188"/>
      <c r="P143" s="188"/>
      <c r="Q143" s="188"/>
      <c r="R143" s="22"/>
      <c r="T143" s="127"/>
      <c r="U143" s="28" t="s">
        <v>39</v>
      </c>
      <c r="V143" s="128">
        <v>0.157</v>
      </c>
      <c r="W143" s="128">
        <f>$V$143*$K$143</f>
        <v>1.256</v>
      </c>
      <c r="X143" s="128">
        <v>0</v>
      </c>
      <c r="Y143" s="128">
        <f>$X$143*$K$143</f>
        <v>0</v>
      </c>
      <c r="Z143" s="128">
        <v>0</v>
      </c>
      <c r="AA143" s="129">
        <f>$Z$143*$K$143</f>
        <v>0</v>
      </c>
      <c r="AR143" s="6" t="s">
        <v>152</v>
      </c>
      <c r="AT143" s="6" t="s">
        <v>148</v>
      </c>
      <c r="AU143" s="6" t="s">
        <v>110</v>
      </c>
      <c r="AY143" s="6" t="s">
        <v>147</v>
      </c>
      <c r="BE143" s="82">
        <f>IF($U$143="základní",$N$143,0)</f>
        <v>0</v>
      </c>
      <c r="BF143" s="82">
        <f>IF($U$143="snížená",$N$143,0)</f>
        <v>0</v>
      </c>
      <c r="BG143" s="82">
        <f>IF($U$143="zákl. přenesená",$N$143,0)</f>
        <v>0</v>
      </c>
      <c r="BH143" s="82">
        <f>IF($U$143="sníž. přenesená",$N$143,0)</f>
        <v>0</v>
      </c>
      <c r="BI143" s="82">
        <f>IF($U$143="nulová",$N$143,0)</f>
        <v>0</v>
      </c>
      <c r="BJ143" s="6" t="s">
        <v>17</v>
      </c>
      <c r="BK143" s="82">
        <f>ROUND($L$143*$K$143,2)</f>
        <v>0</v>
      </c>
      <c r="BL143" s="6" t="s">
        <v>152</v>
      </c>
    </row>
    <row r="144" spans="2:64" s="6" customFormat="1" ht="15.75" customHeight="1">
      <c r="B144" s="21"/>
      <c r="C144" s="123" t="s">
        <v>202</v>
      </c>
      <c r="D144" s="123" t="s">
        <v>148</v>
      </c>
      <c r="E144" s="124" t="s">
        <v>203</v>
      </c>
      <c r="F144" s="187" t="s">
        <v>204</v>
      </c>
      <c r="G144" s="188"/>
      <c r="H144" s="188"/>
      <c r="I144" s="188"/>
      <c r="J144" s="125" t="s">
        <v>155</v>
      </c>
      <c r="K144" s="126">
        <v>8</v>
      </c>
      <c r="L144" s="189">
        <v>0</v>
      </c>
      <c r="M144" s="188"/>
      <c r="N144" s="190">
        <f>ROUND($L$144*$K$144,2)</f>
        <v>0</v>
      </c>
      <c r="O144" s="188"/>
      <c r="P144" s="188"/>
      <c r="Q144" s="188"/>
      <c r="R144" s="22"/>
      <c r="T144" s="127"/>
      <c r="U144" s="28" t="s">
        <v>39</v>
      </c>
      <c r="V144" s="128">
        <v>0.174</v>
      </c>
      <c r="W144" s="128">
        <f>$V$144*$K$144</f>
        <v>1.392</v>
      </c>
      <c r="X144" s="128">
        <v>0</v>
      </c>
      <c r="Y144" s="128">
        <f>$X$144*$K$144</f>
        <v>0</v>
      </c>
      <c r="Z144" s="128">
        <v>0</v>
      </c>
      <c r="AA144" s="129">
        <f>$Z$144*$K$144</f>
        <v>0</v>
      </c>
      <c r="AR144" s="6" t="s">
        <v>152</v>
      </c>
      <c r="AT144" s="6" t="s">
        <v>148</v>
      </c>
      <c r="AU144" s="6" t="s">
        <v>110</v>
      </c>
      <c r="AY144" s="6" t="s">
        <v>147</v>
      </c>
      <c r="BE144" s="82">
        <f>IF($U$144="základní",$N$144,0)</f>
        <v>0</v>
      </c>
      <c r="BF144" s="82">
        <f>IF($U$144="snížená",$N$144,0)</f>
        <v>0</v>
      </c>
      <c r="BG144" s="82">
        <f>IF($U$144="zákl. přenesená",$N$144,0)</f>
        <v>0</v>
      </c>
      <c r="BH144" s="82">
        <f>IF($U$144="sníž. přenesená",$N$144,0)</f>
        <v>0</v>
      </c>
      <c r="BI144" s="82">
        <f>IF($U$144="nulová",$N$144,0)</f>
        <v>0</v>
      </c>
      <c r="BJ144" s="6" t="s">
        <v>17</v>
      </c>
      <c r="BK144" s="82">
        <f>ROUND($L$144*$K$144,2)</f>
        <v>0</v>
      </c>
      <c r="BL144" s="6" t="s">
        <v>152</v>
      </c>
    </row>
    <row r="145" spans="2:64" s="6" customFormat="1" ht="15.75" customHeight="1">
      <c r="B145" s="21"/>
      <c r="C145" s="123" t="s">
        <v>205</v>
      </c>
      <c r="D145" s="123" t="s">
        <v>148</v>
      </c>
      <c r="E145" s="124" t="s">
        <v>206</v>
      </c>
      <c r="F145" s="187" t="s">
        <v>207</v>
      </c>
      <c r="G145" s="188"/>
      <c r="H145" s="188"/>
      <c r="I145" s="188"/>
      <c r="J145" s="125" t="s">
        <v>155</v>
      </c>
      <c r="K145" s="126">
        <v>8</v>
      </c>
      <c r="L145" s="189">
        <v>0</v>
      </c>
      <c r="M145" s="188"/>
      <c r="N145" s="190">
        <f>ROUND($L$145*$K$145,2)</f>
        <v>0</v>
      </c>
      <c r="O145" s="188"/>
      <c r="P145" s="188"/>
      <c r="Q145" s="188"/>
      <c r="R145" s="22"/>
      <c r="T145" s="127"/>
      <c r="U145" s="28" t="s">
        <v>39</v>
      </c>
      <c r="V145" s="128">
        <v>0.211</v>
      </c>
      <c r="W145" s="128">
        <f>$V$145*$K$145</f>
        <v>1.688</v>
      </c>
      <c r="X145" s="128">
        <v>0</v>
      </c>
      <c r="Y145" s="128">
        <f>$X$145*$K$145</f>
        <v>0</v>
      </c>
      <c r="Z145" s="128">
        <v>0</v>
      </c>
      <c r="AA145" s="129">
        <f>$Z$145*$K$145</f>
        <v>0</v>
      </c>
      <c r="AR145" s="6" t="s">
        <v>152</v>
      </c>
      <c r="AT145" s="6" t="s">
        <v>148</v>
      </c>
      <c r="AU145" s="6" t="s">
        <v>110</v>
      </c>
      <c r="AY145" s="6" t="s">
        <v>147</v>
      </c>
      <c r="BE145" s="82">
        <f>IF($U$145="základní",$N$145,0)</f>
        <v>0</v>
      </c>
      <c r="BF145" s="82">
        <f>IF($U$145="snížená",$N$145,0)</f>
        <v>0</v>
      </c>
      <c r="BG145" s="82">
        <f>IF($U$145="zákl. přenesená",$N$145,0)</f>
        <v>0</v>
      </c>
      <c r="BH145" s="82">
        <f>IF($U$145="sníž. přenesená",$N$145,0)</f>
        <v>0</v>
      </c>
      <c r="BI145" s="82">
        <f>IF($U$145="nulová",$N$145,0)</f>
        <v>0</v>
      </c>
      <c r="BJ145" s="6" t="s">
        <v>17</v>
      </c>
      <c r="BK145" s="82">
        <f>ROUND($L$145*$K$145,2)</f>
        <v>0</v>
      </c>
      <c r="BL145" s="6" t="s">
        <v>152</v>
      </c>
    </row>
    <row r="146" spans="2:64" s="6" customFormat="1" ht="27" customHeight="1">
      <c r="B146" s="21"/>
      <c r="C146" s="123" t="s">
        <v>8</v>
      </c>
      <c r="D146" s="123" t="s">
        <v>148</v>
      </c>
      <c r="E146" s="124" t="s">
        <v>208</v>
      </c>
      <c r="F146" s="187" t="s">
        <v>209</v>
      </c>
      <c r="G146" s="188"/>
      <c r="H146" s="188"/>
      <c r="I146" s="188"/>
      <c r="J146" s="125" t="s">
        <v>155</v>
      </c>
      <c r="K146" s="126">
        <v>12</v>
      </c>
      <c r="L146" s="189">
        <v>0</v>
      </c>
      <c r="M146" s="188"/>
      <c r="N146" s="190">
        <f>ROUND($L$146*$K$146,2)</f>
        <v>0</v>
      </c>
      <c r="O146" s="188"/>
      <c r="P146" s="188"/>
      <c r="Q146" s="188"/>
      <c r="R146" s="22"/>
      <c r="T146" s="127"/>
      <c r="U146" s="28" t="s">
        <v>39</v>
      </c>
      <c r="V146" s="128">
        <v>0.259</v>
      </c>
      <c r="W146" s="128">
        <f>$V$146*$K$146</f>
        <v>3.108</v>
      </c>
      <c r="X146" s="128">
        <v>0</v>
      </c>
      <c r="Y146" s="128">
        <f>$X$146*$K$146</f>
        <v>0</v>
      </c>
      <c r="Z146" s="128">
        <v>0</v>
      </c>
      <c r="AA146" s="129">
        <f>$Z$146*$K$146</f>
        <v>0</v>
      </c>
      <c r="AR146" s="6" t="s">
        <v>152</v>
      </c>
      <c r="AT146" s="6" t="s">
        <v>148</v>
      </c>
      <c r="AU146" s="6" t="s">
        <v>110</v>
      </c>
      <c r="AY146" s="6" t="s">
        <v>147</v>
      </c>
      <c r="BE146" s="82">
        <f>IF($U$146="základní",$N$146,0)</f>
        <v>0</v>
      </c>
      <c r="BF146" s="82">
        <f>IF($U$146="snížená",$N$146,0)</f>
        <v>0</v>
      </c>
      <c r="BG146" s="82">
        <f>IF($U$146="zákl. přenesená",$N$146,0)</f>
        <v>0</v>
      </c>
      <c r="BH146" s="82">
        <f>IF($U$146="sníž. přenesená",$N$146,0)</f>
        <v>0</v>
      </c>
      <c r="BI146" s="82">
        <f>IF($U$146="nulová",$N$146,0)</f>
        <v>0</v>
      </c>
      <c r="BJ146" s="6" t="s">
        <v>17</v>
      </c>
      <c r="BK146" s="82">
        <f>ROUND($L$146*$K$146,2)</f>
        <v>0</v>
      </c>
      <c r="BL146" s="6" t="s">
        <v>152</v>
      </c>
    </row>
    <row r="147" spans="2:64" s="6" customFormat="1" ht="27" customHeight="1">
      <c r="B147" s="21"/>
      <c r="C147" s="123" t="s">
        <v>152</v>
      </c>
      <c r="D147" s="123" t="s">
        <v>148</v>
      </c>
      <c r="E147" s="124" t="s">
        <v>210</v>
      </c>
      <c r="F147" s="187" t="s">
        <v>211</v>
      </c>
      <c r="G147" s="188"/>
      <c r="H147" s="188"/>
      <c r="I147" s="188"/>
      <c r="J147" s="125" t="s">
        <v>155</v>
      </c>
      <c r="K147" s="126">
        <v>8</v>
      </c>
      <c r="L147" s="189">
        <v>0</v>
      </c>
      <c r="M147" s="188"/>
      <c r="N147" s="190">
        <f>ROUND($L$147*$K$147,2)</f>
        <v>0</v>
      </c>
      <c r="O147" s="188"/>
      <c r="P147" s="188"/>
      <c r="Q147" s="188"/>
      <c r="R147" s="22"/>
      <c r="T147" s="127"/>
      <c r="U147" s="28" t="s">
        <v>39</v>
      </c>
      <c r="V147" s="128">
        <v>0</v>
      </c>
      <c r="W147" s="128">
        <f>$V$147*$K$147</f>
        <v>0</v>
      </c>
      <c r="X147" s="128">
        <v>0</v>
      </c>
      <c r="Y147" s="128">
        <f>$X$147*$K$147</f>
        <v>0</v>
      </c>
      <c r="Z147" s="128">
        <v>0</v>
      </c>
      <c r="AA147" s="129">
        <f>$Z$147*$K$147</f>
        <v>0</v>
      </c>
      <c r="AR147" s="6" t="s">
        <v>152</v>
      </c>
      <c r="AT147" s="6" t="s">
        <v>148</v>
      </c>
      <c r="AU147" s="6" t="s">
        <v>110</v>
      </c>
      <c r="AY147" s="6" t="s">
        <v>147</v>
      </c>
      <c r="BE147" s="82">
        <f>IF($U$147="základní",$N$147,0)</f>
        <v>0</v>
      </c>
      <c r="BF147" s="82">
        <f>IF($U$147="snížená",$N$147,0)</f>
        <v>0</v>
      </c>
      <c r="BG147" s="82">
        <f>IF($U$147="zákl. přenesená",$N$147,0)</f>
        <v>0</v>
      </c>
      <c r="BH147" s="82">
        <f>IF($U$147="sníž. přenesená",$N$147,0)</f>
        <v>0</v>
      </c>
      <c r="BI147" s="82">
        <f>IF($U$147="nulová",$N$147,0)</f>
        <v>0</v>
      </c>
      <c r="BJ147" s="6" t="s">
        <v>17</v>
      </c>
      <c r="BK147" s="82">
        <f>ROUND($L$147*$K$147,2)</f>
        <v>0</v>
      </c>
      <c r="BL147" s="6" t="s">
        <v>152</v>
      </c>
    </row>
    <row r="148" spans="2:64" s="6" customFormat="1" ht="27" customHeight="1">
      <c r="B148" s="21"/>
      <c r="C148" s="123" t="s">
        <v>212</v>
      </c>
      <c r="D148" s="123" t="s">
        <v>148</v>
      </c>
      <c r="E148" s="124" t="s">
        <v>213</v>
      </c>
      <c r="F148" s="187" t="s">
        <v>214</v>
      </c>
      <c r="G148" s="188"/>
      <c r="H148" s="188"/>
      <c r="I148" s="188"/>
      <c r="J148" s="125" t="s">
        <v>151</v>
      </c>
      <c r="K148" s="126">
        <v>32.75</v>
      </c>
      <c r="L148" s="189">
        <v>0</v>
      </c>
      <c r="M148" s="188"/>
      <c r="N148" s="190">
        <f>ROUND($L$148*$K$148,2)</f>
        <v>0</v>
      </c>
      <c r="O148" s="188"/>
      <c r="P148" s="188"/>
      <c r="Q148" s="188"/>
      <c r="R148" s="22"/>
      <c r="T148" s="127"/>
      <c r="U148" s="28" t="s">
        <v>39</v>
      </c>
      <c r="V148" s="128">
        <v>0.048</v>
      </c>
      <c r="W148" s="128">
        <f>$V$148*$K$148</f>
        <v>1.572</v>
      </c>
      <c r="X148" s="128">
        <v>0</v>
      </c>
      <c r="Y148" s="128">
        <f>$X$148*$K$148</f>
        <v>0</v>
      </c>
      <c r="Z148" s="128">
        <v>0</v>
      </c>
      <c r="AA148" s="129">
        <f>$Z$148*$K$148</f>
        <v>0</v>
      </c>
      <c r="AR148" s="6" t="s">
        <v>152</v>
      </c>
      <c r="AT148" s="6" t="s">
        <v>148</v>
      </c>
      <c r="AU148" s="6" t="s">
        <v>110</v>
      </c>
      <c r="AY148" s="6" t="s">
        <v>147</v>
      </c>
      <c r="BE148" s="82">
        <f>IF($U$148="základní",$N$148,0)</f>
        <v>0</v>
      </c>
      <c r="BF148" s="82">
        <f>IF($U$148="snížená",$N$148,0)</f>
        <v>0</v>
      </c>
      <c r="BG148" s="82">
        <f>IF($U$148="zákl. přenesená",$N$148,0)</f>
        <v>0</v>
      </c>
      <c r="BH148" s="82">
        <f>IF($U$148="sníž. přenesená",$N$148,0)</f>
        <v>0</v>
      </c>
      <c r="BI148" s="82">
        <f>IF($U$148="nulová",$N$148,0)</f>
        <v>0</v>
      </c>
      <c r="BJ148" s="6" t="s">
        <v>17</v>
      </c>
      <c r="BK148" s="82">
        <f>ROUND($L$148*$K$148,2)</f>
        <v>0</v>
      </c>
      <c r="BL148" s="6" t="s">
        <v>152</v>
      </c>
    </row>
    <row r="149" spans="2:64" s="6" customFormat="1" ht="15.75" customHeight="1">
      <c r="B149" s="21"/>
      <c r="C149" s="123" t="s">
        <v>215</v>
      </c>
      <c r="D149" s="123" t="s">
        <v>148</v>
      </c>
      <c r="E149" s="124" t="s">
        <v>216</v>
      </c>
      <c r="F149" s="187" t="s">
        <v>217</v>
      </c>
      <c r="G149" s="188"/>
      <c r="H149" s="188"/>
      <c r="I149" s="188"/>
      <c r="J149" s="125" t="s">
        <v>218</v>
      </c>
      <c r="K149" s="126">
        <v>1</v>
      </c>
      <c r="L149" s="189">
        <v>0</v>
      </c>
      <c r="M149" s="188"/>
      <c r="N149" s="190">
        <f>ROUND($L$149*$K$149,2)</f>
        <v>0</v>
      </c>
      <c r="O149" s="188"/>
      <c r="P149" s="188"/>
      <c r="Q149" s="188"/>
      <c r="R149" s="22"/>
      <c r="T149" s="127"/>
      <c r="U149" s="28" t="s">
        <v>39</v>
      </c>
      <c r="V149" s="128">
        <v>0.048</v>
      </c>
      <c r="W149" s="128">
        <f>$V$149*$K$149</f>
        <v>0.048</v>
      </c>
      <c r="X149" s="128">
        <v>0</v>
      </c>
      <c r="Y149" s="128">
        <f>$X$149*$K$149</f>
        <v>0</v>
      </c>
      <c r="Z149" s="128">
        <v>0</v>
      </c>
      <c r="AA149" s="129">
        <f>$Z$149*$K$149</f>
        <v>0</v>
      </c>
      <c r="AR149" s="6" t="s">
        <v>152</v>
      </c>
      <c r="AT149" s="6" t="s">
        <v>148</v>
      </c>
      <c r="AU149" s="6" t="s">
        <v>110</v>
      </c>
      <c r="AY149" s="6" t="s">
        <v>147</v>
      </c>
      <c r="BE149" s="82">
        <f>IF($U$149="základní",$N$149,0)</f>
        <v>0</v>
      </c>
      <c r="BF149" s="82">
        <f>IF($U$149="snížená",$N$149,0)</f>
        <v>0</v>
      </c>
      <c r="BG149" s="82">
        <f>IF($U$149="zákl. přenesená",$N$149,0)</f>
        <v>0</v>
      </c>
      <c r="BH149" s="82">
        <f>IF($U$149="sníž. přenesená",$N$149,0)</f>
        <v>0</v>
      </c>
      <c r="BI149" s="82">
        <f>IF($U$149="nulová",$N$149,0)</f>
        <v>0</v>
      </c>
      <c r="BJ149" s="6" t="s">
        <v>17</v>
      </c>
      <c r="BK149" s="82">
        <f>ROUND($L$149*$K$149,2)</f>
        <v>0</v>
      </c>
      <c r="BL149" s="6" t="s">
        <v>152</v>
      </c>
    </row>
    <row r="150" spans="2:64" s="6" customFormat="1" ht="27" customHeight="1">
      <c r="B150" s="21"/>
      <c r="C150" s="123" t="s">
        <v>219</v>
      </c>
      <c r="D150" s="123" t="s">
        <v>148</v>
      </c>
      <c r="E150" s="124" t="s">
        <v>220</v>
      </c>
      <c r="F150" s="187" t="s">
        <v>221</v>
      </c>
      <c r="G150" s="188"/>
      <c r="H150" s="188"/>
      <c r="I150" s="188"/>
      <c r="J150" s="125" t="s">
        <v>159</v>
      </c>
      <c r="K150" s="130">
        <v>0</v>
      </c>
      <c r="L150" s="189">
        <v>0</v>
      </c>
      <c r="M150" s="188"/>
      <c r="N150" s="190">
        <f>ROUND($L$150*$K$150,2)</f>
        <v>0</v>
      </c>
      <c r="O150" s="188"/>
      <c r="P150" s="188"/>
      <c r="Q150" s="188"/>
      <c r="R150" s="22"/>
      <c r="T150" s="127"/>
      <c r="U150" s="28" t="s">
        <v>39</v>
      </c>
      <c r="V150" s="128">
        <v>0</v>
      </c>
      <c r="W150" s="128">
        <f>$V$150*$K$150</f>
        <v>0</v>
      </c>
      <c r="X150" s="128">
        <v>0</v>
      </c>
      <c r="Y150" s="128">
        <f>$X$150*$K$150</f>
        <v>0</v>
      </c>
      <c r="Z150" s="128">
        <v>0</v>
      </c>
      <c r="AA150" s="129">
        <f>$Z$150*$K$150</f>
        <v>0</v>
      </c>
      <c r="AR150" s="6" t="s">
        <v>152</v>
      </c>
      <c r="AT150" s="6" t="s">
        <v>148</v>
      </c>
      <c r="AU150" s="6" t="s">
        <v>110</v>
      </c>
      <c r="AY150" s="6" t="s">
        <v>147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přenesená",$N$150,0)</f>
        <v>0</v>
      </c>
      <c r="BH150" s="82">
        <f>IF($U$150="sníž. přenesená",$N$150,0)</f>
        <v>0</v>
      </c>
      <c r="BI150" s="82">
        <f>IF($U$150="nulová",$N$150,0)</f>
        <v>0</v>
      </c>
      <c r="BJ150" s="6" t="s">
        <v>17</v>
      </c>
      <c r="BK150" s="82">
        <f>ROUND($L$150*$K$150,2)</f>
        <v>0</v>
      </c>
      <c r="BL150" s="6" t="s">
        <v>152</v>
      </c>
    </row>
    <row r="151" spans="2:63" s="113" customFormat="1" ht="30.75" customHeight="1">
      <c r="B151" s="114"/>
      <c r="D151" s="122" t="s">
        <v>167</v>
      </c>
      <c r="N151" s="195">
        <f>$BK$151</f>
        <v>0</v>
      </c>
      <c r="O151" s="194"/>
      <c r="P151" s="194"/>
      <c r="Q151" s="194"/>
      <c r="R151" s="117"/>
      <c r="T151" s="118"/>
      <c r="W151" s="119">
        <f>SUM($W$152:$W$163)</f>
        <v>49.718500000000006</v>
      </c>
      <c r="Y151" s="119">
        <f>SUM($Y$152:$Y$163)</f>
        <v>0.057165</v>
      </c>
      <c r="AA151" s="120">
        <f>SUM($AA$152:$AA$163)</f>
        <v>0</v>
      </c>
      <c r="AR151" s="116" t="s">
        <v>110</v>
      </c>
      <c r="AT151" s="116" t="s">
        <v>73</v>
      </c>
      <c r="AU151" s="116" t="s">
        <v>17</v>
      </c>
      <c r="AY151" s="116" t="s">
        <v>147</v>
      </c>
      <c r="BK151" s="121">
        <f>SUM($BK$152:$BK$163)</f>
        <v>0</v>
      </c>
    </row>
    <row r="152" spans="2:64" s="6" customFormat="1" ht="27" customHeight="1">
      <c r="B152" s="21"/>
      <c r="C152" s="123" t="s">
        <v>222</v>
      </c>
      <c r="D152" s="123" t="s">
        <v>148</v>
      </c>
      <c r="E152" s="124" t="s">
        <v>223</v>
      </c>
      <c r="F152" s="187" t="s">
        <v>224</v>
      </c>
      <c r="G152" s="188"/>
      <c r="H152" s="188"/>
      <c r="I152" s="188"/>
      <c r="J152" s="125" t="s">
        <v>155</v>
      </c>
      <c r="K152" s="126">
        <v>9</v>
      </c>
      <c r="L152" s="189">
        <v>0</v>
      </c>
      <c r="M152" s="188"/>
      <c r="N152" s="190">
        <f>ROUND($L$152*$K$152,2)</f>
        <v>0</v>
      </c>
      <c r="O152" s="188"/>
      <c r="P152" s="188"/>
      <c r="Q152" s="188"/>
      <c r="R152" s="22"/>
      <c r="T152" s="127"/>
      <c r="U152" s="28" t="s">
        <v>39</v>
      </c>
      <c r="V152" s="128">
        <v>0.244</v>
      </c>
      <c r="W152" s="128">
        <f>$V$152*$K$152</f>
        <v>2.1959999999999997</v>
      </c>
      <c r="X152" s="128">
        <v>4E-05</v>
      </c>
      <c r="Y152" s="128">
        <f>$X$152*$K$152</f>
        <v>0.00036</v>
      </c>
      <c r="Z152" s="128">
        <v>0</v>
      </c>
      <c r="AA152" s="129">
        <f>$Z$152*$K$152</f>
        <v>0</v>
      </c>
      <c r="AR152" s="6" t="s">
        <v>152</v>
      </c>
      <c r="AT152" s="6" t="s">
        <v>148</v>
      </c>
      <c r="AU152" s="6" t="s">
        <v>110</v>
      </c>
      <c r="AY152" s="6" t="s">
        <v>147</v>
      </c>
      <c r="BE152" s="82">
        <f>IF($U$152="základní",$N$152,0)</f>
        <v>0</v>
      </c>
      <c r="BF152" s="82">
        <f>IF($U$152="snížená",$N$152,0)</f>
        <v>0</v>
      </c>
      <c r="BG152" s="82">
        <f>IF($U$152="zákl. přenesená",$N$152,0)</f>
        <v>0</v>
      </c>
      <c r="BH152" s="82">
        <f>IF($U$152="sníž. přenesená",$N$152,0)</f>
        <v>0</v>
      </c>
      <c r="BI152" s="82">
        <f>IF($U$152="nulová",$N$152,0)</f>
        <v>0</v>
      </c>
      <c r="BJ152" s="6" t="s">
        <v>17</v>
      </c>
      <c r="BK152" s="82">
        <f>ROUND($L$152*$K$152,2)</f>
        <v>0</v>
      </c>
      <c r="BL152" s="6" t="s">
        <v>152</v>
      </c>
    </row>
    <row r="153" spans="2:64" s="6" customFormat="1" ht="27" customHeight="1">
      <c r="B153" s="21"/>
      <c r="C153" s="123" t="s">
        <v>7</v>
      </c>
      <c r="D153" s="123" t="s">
        <v>148</v>
      </c>
      <c r="E153" s="124" t="s">
        <v>225</v>
      </c>
      <c r="F153" s="187" t="s">
        <v>226</v>
      </c>
      <c r="G153" s="188"/>
      <c r="H153" s="188"/>
      <c r="I153" s="188"/>
      <c r="J153" s="125" t="s">
        <v>151</v>
      </c>
      <c r="K153" s="126">
        <v>32</v>
      </c>
      <c r="L153" s="189">
        <v>0</v>
      </c>
      <c r="M153" s="188"/>
      <c r="N153" s="190">
        <f>ROUND($L$153*$K$153,2)</f>
        <v>0</v>
      </c>
      <c r="O153" s="188"/>
      <c r="P153" s="188"/>
      <c r="Q153" s="188"/>
      <c r="R153" s="22"/>
      <c r="T153" s="127"/>
      <c r="U153" s="28" t="s">
        <v>39</v>
      </c>
      <c r="V153" s="128">
        <v>0.529</v>
      </c>
      <c r="W153" s="128">
        <f>$V$153*$K$153</f>
        <v>16.928</v>
      </c>
      <c r="X153" s="128">
        <v>0.00078</v>
      </c>
      <c r="Y153" s="128">
        <f>$X$153*$K$153</f>
        <v>0.02496</v>
      </c>
      <c r="Z153" s="128">
        <v>0</v>
      </c>
      <c r="AA153" s="129">
        <f>$Z$153*$K$153</f>
        <v>0</v>
      </c>
      <c r="AR153" s="6" t="s">
        <v>152</v>
      </c>
      <c r="AT153" s="6" t="s">
        <v>148</v>
      </c>
      <c r="AU153" s="6" t="s">
        <v>110</v>
      </c>
      <c r="AY153" s="6" t="s">
        <v>147</v>
      </c>
      <c r="BE153" s="82">
        <f>IF($U$153="základní",$N$153,0)</f>
        <v>0</v>
      </c>
      <c r="BF153" s="82">
        <f>IF($U$153="snížená",$N$153,0)</f>
        <v>0</v>
      </c>
      <c r="BG153" s="82">
        <f>IF($U$153="zákl. přenesená",$N$153,0)</f>
        <v>0</v>
      </c>
      <c r="BH153" s="82">
        <f>IF($U$153="sníž. přenesená",$N$153,0)</f>
        <v>0</v>
      </c>
      <c r="BI153" s="82">
        <f>IF($U$153="nulová",$N$153,0)</f>
        <v>0</v>
      </c>
      <c r="BJ153" s="6" t="s">
        <v>17</v>
      </c>
      <c r="BK153" s="82">
        <f>ROUND($L$153*$K$153,2)</f>
        <v>0</v>
      </c>
      <c r="BL153" s="6" t="s">
        <v>152</v>
      </c>
    </row>
    <row r="154" spans="2:64" s="6" customFormat="1" ht="27" customHeight="1">
      <c r="B154" s="21"/>
      <c r="C154" s="123" t="s">
        <v>227</v>
      </c>
      <c r="D154" s="123" t="s">
        <v>148</v>
      </c>
      <c r="E154" s="124" t="s">
        <v>228</v>
      </c>
      <c r="F154" s="187" t="s">
        <v>229</v>
      </c>
      <c r="G154" s="188"/>
      <c r="H154" s="188"/>
      <c r="I154" s="188"/>
      <c r="J154" s="125" t="s">
        <v>151</v>
      </c>
      <c r="K154" s="126">
        <v>24.5</v>
      </c>
      <c r="L154" s="189">
        <v>0</v>
      </c>
      <c r="M154" s="188"/>
      <c r="N154" s="190">
        <f>ROUND($L$154*$K$154,2)</f>
        <v>0</v>
      </c>
      <c r="O154" s="188"/>
      <c r="P154" s="188"/>
      <c r="Q154" s="188"/>
      <c r="R154" s="22"/>
      <c r="T154" s="127"/>
      <c r="U154" s="28" t="s">
        <v>39</v>
      </c>
      <c r="V154" s="128">
        <v>0.616</v>
      </c>
      <c r="W154" s="128">
        <f>$V$154*$K$154</f>
        <v>15.092</v>
      </c>
      <c r="X154" s="128">
        <v>0.00096</v>
      </c>
      <c r="Y154" s="128">
        <f>$X$154*$K$154</f>
        <v>0.02352</v>
      </c>
      <c r="Z154" s="128">
        <v>0</v>
      </c>
      <c r="AA154" s="129">
        <f>$Z$154*$K$154</f>
        <v>0</v>
      </c>
      <c r="AR154" s="6" t="s">
        <v>152</v>
      </c>
      <c r="AT154" s="6" t="s">
        <v>148</v>
      </c>
      <c r="AU154" s="6" t="s">
        <v>110</v>
      </c>
      <c r="AY154" s="6" t="s">
        <v>147</v>
      </c>
      <c r="BE154" s="82">
        <f>IF($U$154="základní",$N$154,0)</f>
        <v>0</v>
      </c>
      <c r="BF154" s="82">
        <f>IF($U$154="snížená",$N$154,0)</f>
        <v>0</v>
      </c>
      <c r="BG154" s="82">
        <f>IF($U$154="zákl. přenesená",$N$154,0)</f>
        <v>0</v>
      </c>
      <c r="BH154" s="82">
        <f>IF($U$154="sníž. přenesená",$N$154,0)</f>
        <v>0</v>
      </c>
      <c r="BI154" s="82">
        <f>IF($U$154="nulová",$N$154,0)</f>
        <v>0</v>
      </c>
      <c r="BJ154" s="6" t="s">
        <v>17</v>
      </c>
      <c r="BK154" s="82">
        <f>ROUND($L$154*$K$154,2)</f>
        <v>0</v>
      </c>
      <c r="BL154" s="6" t="s">
        <v>152</v>
      </c>
    </row>
    <row r="155" spans="2:64" s="6" customFormat="1" ht="39" customHeight="1">
      <c r="B155" s="21"/>
      <c r="C155" s="123" t="s">
        <v>230</v>
      </c>
      <c r="D155" s="123" t="s">
        <v>148</v>
      </c>
      <c r="E155" s="124" t="s">
        <v>231</v>
      </c>
      <c r="F155" s="187" t="s">
        <v>232</v>
      </c>
      <c r="G155" s="188"/>
      <c r="H155" s="188"/>
      <c r="I155" s="188"/>
      <c r="J155" s="125" t="s">
        <v>151</v>
      </c>
      <c r="K155" s="126">
        <v>32</v>
      </c>
      <c r="L155" s="189">
        <v>0</v>
      </c>
      <c r="M155" s="188"/>
      <c r="N155" s="190">
        <f>ROUND($L$155*$K$155,2)</f>
        <v>0</v>
      </c>
      <c r="O155" s="188"/>
      <c r="P155" s="188"/>
      <c r="Q155" s="188"/>
      <c r="R155" s="22"/>
      <c r="T155" s="127"/>
      <c r="U155" s="28" t="s">
        <v>39</v>
      </c>
      <c r="V155" s="128">
        <v>0.113</v>
      </c>
      <c r="W155" s="128">
        <f>$V$155*$K$155</f>
        <v>3.616</v>
      </c>
      <c r="X155" s="128">
        <v>0.00012</v>
      </c>
      <c r="Y155" s="128">
        <f>$X$155*$K$155</f>
        <v>0.00384</v>
      </c>
      <c r="Z155" s="128">
        <v>0</v>
      </c>
      <c r="AA155" s="129">
        <f>$Z$155*$K$155</f>
        <v>0</v>
      </c>
      <c r="AR155" s="6" t="s">
        <v>152</v>
      </c>
      <c r="AT155" s="6" t="s">
        <v>148</v>
      </c>
      <c r="AU155" s="6" t="s">
        <v>110</v>
      </c>
      <c r="AY155" s="6" t="s">
        <v>147</v>
      </c>
      <c r="BE155" s="82">
        <f>IF($U$155="základní",$N$155,0)</f>
        <v>0</v>
      </c>
      <c r="BF155" s="82">
        <f>IF($U$155="snížená",$N$155,0)</f>
        <v>0</v>
      </c>
      <c r="BG155" s="82">
        <f>IF($U$155="zákl. přenesená",$N$155,0)</f>
        <v>0</v>
      </c>
      <c r="BH155" s="82">
        <f>IF($U$155="sníž. přenesená",$N$155,0)</f>
        <v>0</v>
      </c>
      <c r="BI155" s="82">
        <f>IF($U$155="nulová",$N$155,0)</f>
        <v>0</v>
      </c>
      <c r="BJ155" s="6" t="s">
        <v>17</v>
      </c>
      <c r="BK155" s="82">
        <f>ROUND($L$155*$K$155,2)</f>
        <v>0</v>
      </c>
      <c r="BL155" s="6" t="s">
        <v>152</v>
      </c>
    </row>
    <row r="156" spans="2:64" s="6" customFormat="1" ht="39" customHeight="1">
      <c r="B156" s="21"/>
      <c r="C156" s="123" t="s">
        <v>233</v>
      </c>
      <c r="D156" s="123" t="s">
        <v>148</v>
      </c>
      <c r="E156" s="124" t="s">
        <v>234</v>
      </c>
      <c r="F156" s="187" t="s">
        <v>235</v>
      </c>
      <c r="G156" s="188"/>
      <c r="H156" s="188"/>
      <c r="I156" s="188"/>
      <c r="J156" s="125" t="s">
        <v>151</v>
      </c>
      <c r="K156" s="126">
        <v>24.5</v>
      </c>
      <c r="L156" s="189">
        <v>0</v>
      </c>
      <c r="M156" s="188"/>
      <c r="N156" s="190">
        <f>ROUND($L$156*$K$156,2)</f>
        <v>0</v>
      </c>
      <c r="O156" s="188"/>
      <c r="P156" s="188"/>
      <c r="Q156" s="188"/>
      <c r="R156" s="22"/>
      <c r="T156" s="127"/>
      <c r="U156" s="28" t="s">
        <v>39</v>
      </c>
      <c r="V156" s="128">
        <v>0.113</v>
      </c>
      <c r="W156" s="128">
        <f>$V$156*$K$156</f>
        <v>2.7685</v>
      </c>
      <c r="X156" s="128">
        <v>0.00016</v>
      </c>
      <c r="Y156" s="128">
        <f>$X$156*$K$156</f>
        <v>0.003920000000000001</v>
      </c>
      <c r="Z156" s="128">
        <v>0</v>
      </c>
      <c r="AA156" s="129">
        <f>$Z$156*$K$156</f>
        <v>0</v>
      </c>
      <c r="AR156" s="6" t="s">
        <v>152</v>
      </c>
      <c r="AT156" s="6" t="s">
        <v>148</v>
      </c>
      <c r="AU156" s="6" t="s">
        <v>110</v>
      </c>
      <c r="AY156" s="6" t="s">
        <v>147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6" t="s">
        <v>17</v>
      </c>
      <c r="BK156" s="82">
        <f>ROUND($L$156*$K$156,2)</f>
        <v>0</v>
      </c>
      <c r="BL156" s="6" t="s">
        <v>152</v>
      </c>
    </row>
    <row r="157" spans="2:64" s="6" customFormat="1" ht="15.75" customHeight="1">
      <c r="B157" s="21"/>
      <c r="C157" s="123" t="s">
        <v>236</v>
      </c>
      <c r="D157" s="123" t="s">
        <v>148</v>
      </c>
      <c r="E157" s="124" t="s">
        <v>237</v>
      </c>
      <c r="F157" s="187" t="s">
        <v>238</v>
      </c>
      <c r="G157" s="188"/>
      <c r="H157" s="188"/>
      <c r="I157" s="188"/>
      <c r="J157" s="125" t="s">
        <v>151</v>
      </c>
      <c r="K157" s="126">
        <v>13.8</v>
      </c>
      <c r="L157" s="189">
        <v>0</v>
      </c>
      <c r="M157" s="188"/>
      <c r="N157" s="190">
        <f>ROUND($L$157*$K$157,2)</f>
        <v>0</v>
      </c>
      <c r="O157" s="188"/>
      <c r="P157" s="188"/>
      <c r="Q157" s="188"/>
      <c r="R157" s="22"/>
      <c r="T157" s="127"/>
      <c r="U157" s="28" t="s">
        <v>39</v>
      </c>
      <c r="V157" s="128">
        <v>0</v>
      </c>
      <c r="W157" s="128">
        <f>$V$157*$K$157</f>
        <v>0</v>
      </c>
      <c r="X157" s="128">
        <v>0</v>
      </c>
      <c r="Y157" s="128">
        <f>$X$157*$K$157</f>
        <v>0</v>
      </c>
      <c r="Z157" s="128">
        <v>0</v>
      </c>
      <c r="AA157" s="129">
        <f>$Z$157*$K$157</f>
        <v>0</v>
      </c>
      <c r="AR157" s="6" t="s">
        <v>152</v>
      </c>
      <c r="AT157" s="6" t="s">
        <v>148</v>
      </c>
      <c r="AU157" s="6" t="s">
        <v>110</v>
      </c>
      <c r="AY157" s="6" t="s">
        <v>147</v>
      </c>
      <c r="BE157" s="82">
        <f>IF($U$157="základní",$N$157,0)</f>
        <v>0</v>
      </c>
      <c r="BF157" s="82">
        <f>IF($U$157="snížená",$N$157,0)</f>
        <v>0</v>
      </c>
      <c r="BG157" s="82">
        <f>IF($U$157="zákl. přenesená",$N$157,0)</f>
        <v>0</v>
      </c>
      <c r="BH157" s="82">
        <f>IF($U$157="sníž. přenesená",$N$157,0)</f>
        <v>0</v>
      </c>
      <c r="BI157" s="82">
        <f>IF($U$157="nulová",$N$157,0)</f>
        <v>0</v>
      </c>
      <c r="BJ157" s="6" t="s">
        <v>17</v>
      </c>
      <c r="BK157" s="82">
        <f>ROUND($L$157*$K$157,2)</f>
        <v>0</v>
      </c>
      <c r="BL157" s="6" t="s">
        <v>152</v>
      </c>
    </row>
    <row r="158" spans="2:64" s="6" customFormat="1" ht="27" customHeight="1">
      <c r="B158" s="21"/>
      <c r="C158" s="135" t="s">
        <v>239</v>
      </c>
      <c r="D158" s="135" t="s">
        <v>173</v>
      </c>
      <c r="E158" s="136" t="s">
        <v>240</v>
      </c>
      <c r="F158" s="196" t="s">
        <v>241</v>
      </c>
      <c r="G158" s="197"/>
      <c r="H158" s="197"/>
      <c r="I158" s="197"/>
      <c r="J158" s="137" t="s">
        <v>242</v>
      </c>
      <c r="K158" s="138">
        <v>5</v>
      </c>
      <c r="L158" s="198">
        <v>0</v>
      </c>
      <c r="M158" s="197"/>
      <c r="N158" s="199">
        <f>ROUND($L$158*$K$158,2)</f>
        <v>0</v>
      </c>
      <c r="O158" s="188"/>
      <c r="P158" s="188"/>
      <c r="Q158" s="188"/>
      <c r="R158" s="22"/>
      <c r="T158" s="127"/>
      <c r="U158" s="28" t="s">
        <v>39</v>
      </c>
      <c r="V158" s="128">
        <v>0</v>
      </c>
      <c r="W158" s="128">
        <f>$V$158*$K$158</f>
        <v>0</v>
      </c>
      <c r="X158" s="128">
        <v>0</v>
      </c>
      <c r="Y158" s="128">
        <f>$X$158*$K$158</f>
        <v>0</v>
      </c>
      <c r="Z158" s="128">
        <v>0</v>
      </c>
      <c r="AA158" s="129">
        <f>$Z$158*$K$158</f>
        <v>0</v>
      </c>
      <c r="AR158" s="6" t="s">
        <v>243</v>
      </c>
      <c r="AT158" s="6" t="s">
        <v>173</v>
      </c>
      <c r="AU158" s="6" t="s">
        <v>110</v>
      </c>
      <c r="AY158" s="6" t="s">
        <v>147</v>
      </c>
      <c r="BE158" s="82">
        <f>IF($U$158="základní",$N$158,0)</f>
        <v>0</v>
      </c>
      <c r="BF158" s="82">
        <f>IF($U$158="snížená",$N$158,0)</f>
        <v>0</v>
      </c>
      <c r="BG158" s="82">
        <f>IF($U$158="zákl. přenesená",$N$158,0)</f>
        <v>0</v>
      </c>
      <c r="BH158" s="82">
        <f>IF($U$158="sníž. přenesená",$N$158,0)</f>
        <v>0</v>
      </c>
      <c r="BI158" s="82">
        <f>IF($U$158="nulová",$N$158,0)</f>
        <v>0</v>
      </c>
      <c r="BJ158" s="6" t="s">
        <v>17</v>
      </c>
      <c r="BK158" s="82">
        <f>ROUND($L$158*$K$158,2)</f>
        <v>0</v>
      </c>
      <c r="BL158" s="6" t="s">
        <v>152</v>
      </c>
    </row>
    <row r="159" spans="2:64" s="6" customFormat="1" ht="15.75" customHeight="1">
      <c r="B159" s="21"/>
      <c r="C159" s="123" t="s">
        <v>244</v>
      </c>
      <c r="D159" s="123" t="s">
        <v>148</v>
      </c>
      <c r="E159" s="124" t="s">
        <v>245</v>
      </c>
      <c r="F159" s="187" t="s">
        <v>246</v>
      </c>
      <c r="G159" s="188"/>
      <c r="H159" s="188"/>
      <c r="I159" s="188"/>
      <c r="J159" s="125" t="s">
        <v>155</v>
      </c>
      <c r="K159" s="126">
        <v>9</v>
      </c>
      <c r="L159" s="189">
        <v>0</v>
      </c>
      <c r="M159" s="188"/>
      <c r="N159" s="190">
        <f>ROUND($L$159*$K$159,2)</f>
        <v>0</v>
      </c>
      <c r="O159" s="188"/>
      <c r="P159" s="188"/>
      <c r="Q159" s="188"/>
      <c r="R159" s="22"/>
      <c r="T159" s="127"/>
      <c r="U159" s="28" t="s">
        <v>39</v>
      </c>
      <c r="V159" s="128">
        <v>0.425</v>
      </c>
      <c r="W159" s="128">
        <f>$V$159*$K$159</f>
        <v>3.8249999999999997</v>
      </c>
      <c r="X159" s="128">
        <v>0</v>
      </c>
      <c r="Y159" s="128">
        <f>$X$159*$K$159</f>
        <v>0</v>
      </c>
      <c r="Z159" s="128">
        <v>0</v>
      </c>
      <c r="AA159" s="129">
        <f>$Z$159*$K$159</f>
        <v>0</v>
      </c>
      <c r="AR159" s="6" t="s">
        <v>152</v>
      </c>
      <c r="AT159" s="6" t="s">
        <v>148</v>
      </c>
      <c r="AU159" s="6" t="s">
        <v>110</v>
      </c>
      <c r="AY159" s="6" t="s">
        <v>147</v>
      </c>
      <c r="BE159" s="82">
        <f>IF($U$159="základní",$N$159,0)</f>
        <v>0</v>
      </c>
      <c r="BF159" s="82">
        <f>IF($U$159="snížená",$N$159,0)</f>
        <v>0</v>
      </c>
      <c r="BG159" s="82">
        <f>IF($U$159="zákl. přenesená",$N$159,0)</f>
        <v>0</v>
      </c>
      <c r="BH159" s="82">
        <f>IF($U$159="sníž. přenesená",$N$159,0)</f>
        <v>0</v>
      </c>
      <c r="BI159" s="82">
        <f>IF($U$159="nulová",$N$159,0)</f>
        <v>0</v>
      </c>
      <c r="BJ159" s="6" t="s">
        <v>17</v>
      </c>
      <c r="BK159" s="82">
        <f>ROUND($L$159*$K$159,2)</f>
        <v>0</v>
      </c>
      <c r="BL159" s="6" t="s">
        <v>152</v>
      </c>
    </row>
    <row r="160" spans="2:64" s="6" customFormat="1" ht="27" customHeight="1">
      <c r="B160" s="21"/>
      <c r="C160" s="123" t="s">
        <v>247</v>
      </c>
      <c r="D160" s="123" t="s">
        <v>148</v>
      </c>
      <c r="E160" s="124" t="s">
        <v>248</v>
      </c>
      <c r="F160" s="187" t="s">
        <v>249</v>
      </c>
      <c r="G160" s="188"/>
      <c r="H160" s="188"/>
      <c r="I160" s="188"/>
      <c r="J160" s="125" t="s">
        <v>155</v>
      </c>
      <c r="K160" s="126">
        <v>4</v>
      </c>
      <c r="L160" s="189">
        <v>0</v>
      </c>
      <c r="M160" s="188"/>
      <c r="N160" s="190">
        <f>ROUND($L$160*$K$160,2)</f>
        <v>0</v>
      </c>
      <c r="O160" s="188"/>
      <c r="P160" s="188"/>
      <c r="Q160" s="188"/>
      <c r="R160" s="22"/>
      <c r="T160" s="127"/>
      <c r="U160" s="28" t="s">
        <v>39</v>
      </c>
      <c r="V160" s="128">
        <v>0.165</v>
      </c>
      <c r="W160" s="128">
        <f>$V$160*$K$160</f>
        <v>0.66</v>
      </c>
      <c r="X160" s="128">
        <v>0</v>
      </c>
      <c r="Y160" s="128">
        <f>$X$160*$K$160</f>
        <v>0</v>
      </c>
      <c r="Z160" s="128">
        <v>0</v>
      </c>
      <c r="AA160" s="129">
        <f>$Z$160*$K$160</f>
        <v>0</v>
      </c>
      <c r="AR160" s="6" t="s">
        <v>152</v>
      </c>
      <c r="AT160" s="6" t="s">
        <v>148</v>
      </c>
      <c r="AU160" s="6" t="s">
        <v>110</v>
      </c>
      <c r="AY160" s="6" t="s">
        <v>147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přenesená",$N$160,0)</f>
        <v>0</v>
      </c>
      <c r="BH160" s="82">
        <f>IF($U$160="sníž. přenesená",$N$160,0)</f>
        <v>0</v>
      </c>
      <c r="BI160" s="82">
        <f>IF($U$160="nulová",$N$160,0)</f>
        <v>0</v>
      </c>
      <c r="BJ160" s="6" t="s">
        <v>17</v>
      </c>
      <c r="BK160" s="82">
        <f>ROUND($L$160*$K$160,2)</f>
        <v>0</v>
      </c>
      <c r="BL160" s="6" t="s">
        <v>152</v>
      </c>
    </row>
    <row r="161" spans="2:64" s="6" customFormat="1" ht="27" customHeight="1">
      <c r="B161" s="21"/>
      <c r="C161" s="123" t="s">
        <v>250</v>
      </c>
      <c r="D161" s="123" t="s">
        <v>148</v>
      </c>
      <c r="E161" s="124" t="s">
        <v>251</v>
      </c>
      <c r="F161" s="187" t="s">
        <v>252</v>
      </c>
      <c r="G161" s="188"/>
      <c r="H161" s="188"/>
      <c r="I161" s="188"/>
      <c r="J161" s="125" t="s">
        <v>151</v>
      </c>
      <c r="K161" s="126">
        <v>56.5</v>
      </c>
      <c r="L161" s="189">
        <v>0</v>
      </c>
      <c r="M161" s="188"/>
      <c r="N161" s="190">
        <f>ROUND($L$161*$K$161,2)</f>
        <v>0</v>
      </c>
      <c r="O161" s="188"/>
      <c r="P161" s="188"/>
      <c r="Q161" s="188"/>
      <c r="R161" s="22"/>
      <c r="T161" s="127"/>
      <c r="U161" s="28" t="s">
        <v>39</v>
      </c>
      <c r="V161" s="128">
        <v>0.082</v>
      </c>
      <c r="W161" s="128">
        <f>$V$161*$K$161</f>
        <v>4.633</v>
      </c>
      <c r="X161" s="128">
        <v>1E-05</v>
      </c>
      <c r="Y161" s="128">
        <f>$X$161*$K$161</f>
        <v>0.0005650000000000001</v>
      </c>
      <c r="Z161" s="128">
        <v>0</v>
      </c>
      <c r="AA161" s="129">
        <f>$Z$161*$K$161</f>
        <v>0</v>
      </c>
      <c r="AR161" s="6" t="s">
        <v>152</v>
      </c>
      <c r="AT161" s="6" t="s">
        <v>148</v>
      </c>
      <c r="AU161" s="6" t="s">
        <v>110</v>
      </c>
      <c r="AY161" s="6" t="s">
        <v>147</v>
      </c>
      <c r="BE161" s="82">
        <f>IF($U$161="základní",$N$161,0)</f>
        <v>0</v>
      </c>
      <c r="BF161" s="82">
        <f>IF($U$161="snížená",$N$161,0)</f>
        <v>0</v>
      </c>
      <c r="BG161" s="82">
        <f>IF($U$161="zákl. přenesená",$N$161,0)</f>
        <v>0</v>
      </c>
      <c r="BH161" s="82">
        <f>IF($U$161="sníž. přenesená",$N$161,0)</f>
        <v>0</v>
      </c>
      <c r="BI161" s="82">
        <f>IF($U$161="nulová",$N$161,0)</f>
        <v>0</v>
      </c>
      <c r="BJ161" s="6" t="s">
        <v>17</v>
      </c>
      <c r="BK161" s="82">
        <f>ROUND($L$161*$K$161,2)</f>
        <v>0</v>
      </c>
      <c r="BL161" s="6" t="s">
        <v>152</v>
      </c>
    </row>
    <row r="162" spans="2:64" s="6" customFormat="1" ht="15.75" customHeight="1">
      <c r="B162" s="21"/>
      <c r="C162" s="123" t="s">
        <v>253</v>
      </c>
      <c r="D162" s="123" t="s">
        <v>148</v>
      </c>
      <c r="E162" s="124" t="s">
        <v>254</v>
      </c>
      <c r="F162" s="187" t="s">
        <v>255</v>
      </c>
      <c r="G162" s="188"/>
      <c r="H162" s="188"/>
      <c r="I162" s="188"/>
      <c r="J162" s="125" t="s">
        <v>218</v>
      </c>
      <c r="K162" s="126">
        <v>1</v>
      </c>
      <c r="L162" s="189">
        <v>0</v>
      </c>
      <c r="M162" s="188"/>
      <c r="N162" s="190">
        <f>ROUND($L$162*$K$162,2)</f>
        <v>0</v>
      </c>
      <c r="O162" s="188"/>
      <c r="P162" s="188"/>
      <c r="Q162" s="188"/>
      <c r="R162" s="22"/>
      <c r="T162" s="127"/>
      <c r="U162" s="28" t="s">
        <v>39</v>
      </c>
      <c r="V162" s="128">
        <v>0</v>
      </c>
      <c r="W162" s="128">
        <f>$V$162*$K$162</f>
        <v>0</v>
      </c>
      <c r="X162" s="128">
        <v>0</v>
      </c>
      <c r="Y162" s="128">
        <f>$X$162*$K$162</f>
        <v>0</v>
      </c>
      <c r="Z162" s="128">
        <v>0</v>
      </c>
      <c r="AA162" s="129">
        <f>$Z$162*$K$162</f>
        <v>0</v>
      </c>
      <c r="AR162" s="6" t="s">
        <v>152</v>
      </c>
      <c r="AT162" s="6" t="s">
        <v>148</v>
      </c>
      <c r="AU162" s="6" t="s">
        <v>110</v>
      </c>
      <c r="AY162" s="6" t="s">
        <v>147</v>
      </c>
      <c r="BE162" s="82">
        <f>IF($U$162="základní",$N$162,0)</f>
        <v>0</v>
      </c>
      <c r="BF162" s="82">
        <f>IF($U$162="snížená",$N$162,0)</f>
        <v>0</v>
      </c>
      <c r="BG162" s="82">
        <f>IF($U$162="zákl. přenesená",$N$162,0)</f>
        <v>0</v>
      </c>
      <c r="BH162" s="82">
        <f>IF($U$162="sníž. přenesená",$N$162,0)</f>
        <v>0</v>
      </c>
      <c r="BI162" s="82">
        <f>IF($U$162="nulová",$N$162,0)</f>
        <v>0</v>
      </c>
      <c r="BJ162" s="6" t="s">
        <v>17</v>
      </c>
      <c r="BK162" s="82">
        <f>ROUND($L$162*$K$162,2)</f>
        <v>0</v>
      </c>
      <c r="BL162" s="6" t="s">
        <v>152</v>
      </c>
    </row>
    <row r="163" spans="2:64" s="6" customFormat="1" ht="27" customHeight="1">
      <c r="B163" s="21"/>
      <c r="C163" s="123" t="s">
        <v>256</v>
      </c>
      <c r="D163" s="123" t="s">
        <v>148</v>
      </c>
      <c r="E163" s="124" t="s">
        <v>257</v>
      </c>
      <c r="F163" s="187" t="s">
        <v>258</v>
      </c>
      <c r="G163" s="188"/>
      <c r="H163" s="188"/>
      <c r="I163" s="188"/>
      <c r="J163" s="125" t="s">
        <v>159</v>
      </c>
      <c r="K163" s="130">
        <v>0</v>
      </c>
      <c r="L163" s="189">
        <v>0</v>
      </c>
      <c r="M163" s="188"/>
      <c r="N163" s="190">
        <f>ROUND($L$163*$K$163,2)</f>
        <v>0</v>
      </c>
      <c r="O163" s="188"/>
      <c r="P163" s="188"/>
      <c r="Q163" s="188"/>
      <c r="R163" s="22"/>
      <c r="T163" s="127"/>
      <c r="U163" s="28" t="s">
        <v>39</v>
      </c>
      <c r="V163" s="128">
        <v>0</v>
      </c>
      <c r="W163" s="128">
        <f>$V$163*$K$163</f>
        <v>0</v>
      </c>
      <c r="X163" s="128">
        <v>0</v>
      </c>
      <c r="Y163" s="128">
        <f>$X$163*$K$163</f>
        <v>0</v>
      </c>
      <c r="Z163" s="128">
        <v>0</v>
      </c>
      <c r="AA163" s="129">
        <f>$Z$163*$K$163</f>
        <v>0</v>
      </c>
      <c r="AR163" s="6" t="s">
        <v>152</v>
      </c>
      <c r="AT163" s="6" t="s">
        <v>148</v>
      </c>
      <c r="AU163" s="6" t="s">
        <v>110</v>
      </c>
      <c r="AY163" s="6" t="s">
        <v>147</v>
      </c>
      <c r="BE163" s="82">
        <f>IF($U$163="základní",$N$163,0)</f>
        <v>0</v>
      </c>
      <c r="BF163" s="82">
        <f>IF($U$163="snížená",$N$163,0)</f>
        <v>0</v>
      </c>
      <c r="BG163" s="82">
        <f>IF($U$163="zákl. přenesená",$N$163,0)</f>
        <v>0</v>
      </c>
      <c r="BH163" s="82">
        <f>IF($U$163="sníž. přenesená",$N$163,0)</f>
        <v>0</v>
      </c>
      <c r="BI163" s="82">
        <f>IF($U$163="nulová",$N$163,0)</f>
        <v>0</v>
      </c>
      <c r="BJ163" s="6" t="s">
        <v>17</v>
      </c>
      <c r="BK163" s="82">
        <f>ROUND($L$163*$K$163,2)</f>
        <v>0</v>
      </c>
      <c r="BL163" s="6" t="s">
        <v>152</v>
      </c>
    </row>
    <row r="164" spans="2:63" s="113" customFormat="1" ht="30.75" customHeight="1">
      <c r="B164" s="114"/>
      <c r="D164" s="122" t="s">
        <v>168</v>
      </c>
      <c r="N164" s="195">
        <f>$BK$164</f>
        <v>0</v>
      </c>
      <c r="O164" s="194"/>
      <c r="P164" s="194"/>
      <c r="Q164" s="194"/>
      <c r="R164" s="117"/>
      <c r="T164" s="118"/>
      <c r="W164" s="119">
        <f>SUM($W$165:$W$181)</f>
        <v>49.391</v>
      </c>
      <c r="Y164" s="119">
        <f>SUM($Y$165:$Y$181)</f>
        <v>0.62972</v>
      </c>
      <c r="AA164" s="120">
        <f>SUM($AA$165:$AA$181)</f>
        <v>0.06561</v>
      </c>
      <c r="AR164" s="116" t="s">
        <v>110</v>
      </c>
      <c r="AT164" s="116" t="s">
        <v>73</v>
      </c>
      <c r="AU164" s="116" t="s">
        <v>17</v>
      </c>
      <c r="AY164" s="116" t="s">
        <v>147</v>
      </c>
      <c r="BK164" s="121">
        <f>SUM($BK$165:$BK$181)</f>
        <v>0</v>
      </c>
    </row>
    <row r="165" spans="2:64" s="6" customFormat="1" ht="15.75" customHeight="1">
      <c r="B165" s="21"/>
      <c r="C165" s="123" t="s">
        <v>243</v>
      </c>
      <c r="D165" s="123" t="s">
        <v>148</v>
      </c>
      <c r="E165" s="124" t="s">
        <v>259</v>
      </c>
      <c r="F165" s="187" t="s">
        <v>260</v>
      </c>
      <c r="G165" s="188"/>
      <c r="H165" s="188"/>
      <c r="I165" s="188"/>
      <c r="J165" s="125" t="s">
        <v>261</v>
      </c>
      <c r="K165" s="126">
        <v>1</v>
      </c>
      <c r="L165" s="189">
        <v>0</v>
      </c>
      <c r="M165" s="188"/>
      <c r="N165" s="190">
        <f>ROUND($L$165*$K$165,2)</f>
        <v>0</v>
      </c>
      <c r="O165" s="188"/>
      <c r="P165" s="188"/>
      <c r="Q165" s="188"/>
      <c r="R165" s="22"/>
      <c r="T165" s="127"/>
      <c r="U165" s="28" t="s">
        <v>39</v>
      </c>
      <c r="V165" s="128">
        <v>1.3</v>
      </c>
      <c r="W165" s="128">
        <f>$V$165*$K$165</f>
        <v>1.3</v>
      </c>
      <c r="X165" s="128">
        <v>0.00362</v>
      </c>
      <c r="Y165" s="128">
        <f>$X$165*$K$165</f>
        <v>0.00362</v>
      </c>
      <c r="Z165" s="128">
        <v>0</v>
      </c>
      <c r="AA165" s="129">
        <f>$Z$165*$K$165</f>
        <v>0</v>
      </c>
      <c r="AR165" s="6" t="s">
        <v>152</v>
      </c>
      <c r="AT165" s="6" t="s">
        <v>148</v>
      </c>
      <c r="AU165" s="6" t="s">
        <v>110</v>
      </c>
      <c r="AY165" s="6" t="s">
        <v>147</v>
      </c>
      <c r="BE165" s="82">
        <f>IF($U$165="základní",$N$165,0)</f>
        <v>0</v>
      </c>
      <c r="BF165" s="82">
        <f>IF($U$165="snížená",$N$165,0)</f>
        <v>0</v>
      </c>
      <c r="BG165" s="82">
        <f>IF($U$165="zákl. přenesená",$N$165,0)</f>
        <v>0</v>
      </c>
      <c r="BH165" s="82">
        <f>IF($U$165="sníž. přenesená",$N$165,0)</f>
        <v>0</v>
      </c>
      <c r="BI165" s="82">
        <f>IF($U$165="nulová",$N$165,0)</f>
        <v>0</v>
      </c>
      <c r="BJ165" s="6" t="s">
        <v>17</v>
      </c>
      <c r="BK165" s="82">
        <f>ROUND($L$165*$K$165,2)</f>
        <v>0</v>
      </c>
      <c r="BL165" s="6" t="s">
        <v>152</v>
      </c>
    </row>
    <row r="166" spans="2:64" s="6" customFormat="1" ht="27" customHeight="1">
      <c r="B166" s="21"/>
      <c r="C166" s="123" t="s">
        <v>262</v>
      </c>
      <c r="D166" s="123" t="s">
        <v>148</v>
      </c>
      <c r="E166" s="124" t="s">
        <v>263</v>
      </c>
      <c r="F166" s="187" t="s">
        <v>264</v>
      </c>
      <c r="G166" s="188"/>
      <c r="H166" s="188"/>
      <c r="I166" s="188"/>
      <c r="J166" s="125" t="s">
        <v>261</v>
      </c>
      <c r="K166" s="126">
        <v>12</v>
      </c>
      <c r="L166" s="189">
        <v>0</v>
      </c>
      <c r="M166" s="188"/>
      <c r="N166" s="190">
        <f>ROUND($L$166*$K$166,2)</f>
        <v>0</v>
      </c>
      <c r="O166" s="188"/>
      <c r="P166" s="188"/>
      <c r="Q166" s="188"/>
      <c r="R166" s="22"/>
      <c r="T166" s="127"/>
      <c r="U166" s="28" t="s">
        <v>39</v>
      </c>
      <c r="V166" s="128">
        <v>1.1</v>
      </c>
      <c r="W166" s="128">
        <f>$V$166*$K$166</f>
        <v>13.200000000000001</v>
      </c>
      <c r="X166" s="128">
        <v>0.02372</v>
      </c>
      <c r="Y166" s="128">
        <f>$X$166*$K$166</f>
        <v>0.28464</v>
      </c>
      <c r="Z166" s="128">
        <v>0</v>
      </c>
      <c r="AA166" s="129">
        <f>$Z$166*$K$166</f>
        <v>0</v>
      </c>
      <c r="AR166" s="6" t="s">
        <v>152</v>
      </c>
      <c r="AT166" s="6" t="s">
        <v>148</v>
      </c>
      <c r="AU166" s="6" t="s">
        <v>110</v>
      </c>
      <c r="AY166" s="6" t="s">
        <v>147</v>
      </c>
      <c r="BE166" s="82">
        <f>IF($U$166="základní",$N$166,0)</f>
        <v>0</v>
      </c>
      <c r="BF166" s="82">
        <f>IF($U$166="snížená",$N$166,0)</f>
        <v>0</v>
      </c>
      <c r="BG166" s="82">
        <f>IF($U$166="zákl. přenesená",$N$166,0)</f>
        <v>0</v>
      </c>
      <c r="BH166" s="82">
        <f>IF($U$166="sníž. přenesená",$N$166,0)</f>
        <v>0</v>
      </c>
      <c r="BI166" s="82">
        <f>IF($U$166="nulová",$N$166,0)</f>
        <v>0</v>
      </c>
      <c r="BJ166" s="6" t="s">
        <v>17</v>
      </c>
      <c r="BK166" s="82">
        <f>ROUND($L$166*$K$166,2)</f>
        <v>0</v>
      </c>
      <c r="BL166" s="6" t="s">
        <v>152</v>
      </c>
    </row>
    <row r="167" spans="2:64" s="6" customFormat="1" ht="27" customHeight="1">
      <c r="B167" s="21"/>
      <c r="C167" s="135" t="s">
        <v>265</v>
      </c>
      <c r="D167" s="135" t="s">
        <v>173</v>
      </c>
      <c r="E167" s="136" t="s">
        <v>266</v>
      </c>
      <c r="F167" s="196" t="s">
        <v>267</v>
      </c>
      <c r="G167" s="197"/>
      <c r="H167" s="197"/>
      <c r="I167" s="197"/>
      <c r="J167" s="137" t="s">
        <v>155</v>
      </c>
      <c r="K167" s="138">
        <v>12</v>
      </c>
      <c r="L167" s="198">
        <v>0</v>
      </c>
      <c r="M167" s="197"/>
      <c r="N167" s="199">
        <f>ROUND($L$167*$K$167,2)</f>
        <v>0</v>
      </c>
      <c r="O167" s="188"/>
      <c r="P167" s="188"/>
      <c r="Q167" s="188"/>
      <c r="R167" s="22"/>
      <c r="T167" s="127"/>
      <c r="U167" s="28" t="s">
        <v>39</v>
      </c>
      <c r="V167" s="128">
        <v>0</v>
      </c>
      <c r="W167" s="128">
        <f>$V$167*$K$167</f>
        <v>0</v>
      </c>
      <c r="X167" s="128">
        <v>0.0013</v>
      </c>
      <c r="Y167" s="128">
        <f>$X$167*$K$167</f>
        <v>0.0156</v>
      </c>
      <c r="Z167" s="128">
        <v>0</v>
      </c>
      <c r="AA167" s="129">
        <f>$Z$167*$K$167</f>
        <v>0</v>
      </c>
      <c r="AR167" s="6" t="s">
        <v>243</v>
      </c>
      <c r="AT167" s="6" t="s">
        <v>173</v>
      </c>
      <c r="AU167" s="6" t="s">
        <v>110</v>
      </c>
      <c r="AY167" s="6" t="s">
        <v>147</v>
      </c>
      <c r="BE167" s="82">
        <f>IF($U$167="základní",$N$167,0)</f>
        <v>0</v>
      </c>
      <c r="BF167" s="82">
        <f>IF($U$167="snížená",$N$167,0)</f>
        <v>0</v>
      </c>
      <c r="BG167" s="82">
        <f>IF($U$167="zákl. přenesená",$N$167,0)</f>
        <v>0</v>
      </c>
      <c r="BH167" s="82">
        <f>IF($U$167="sníž. přenesená",$N$167,0)</f>
        <v>0</v>
      </c>
      <c r="BI167" s="82">
        <f>IF($U$167="nulová",$N$167,0)</f>
        <v>0</v>
      </c>
      <c r="BJ167" s="6" t="s">
        <v>17</v>
      </c>
      <c r="BK167" s="82">
        <f>ROUND($L$167*$K$167,2)</f>
        <v>0</v>
      </c>
      <c r="BL167" s="6" t="s">
        <v>152</v>
      </c>
    </row>
    <row r="168" spans="2:64" s="6" customFormat="1" ht="15.75" customHeight="1">
      <c r="B168" s="21"/>
      <c r="C168" s="135" t="s">
        <v>268</v>
      </c>
      <c r="D168" s="135" t="s">
        <v>173</v>
      </c>
      <c r="E168" s="136" t="s">
        <v>269</v>
      </c>
      <c r="F168" s="196" t="s">
        <v>270</v>
      </c>
      <c r="G168" s="197"/>
      <c r="H168" s="197"/>
      <c r="I168" s="197"/>
      <c r="J168" s="137" t="s">
        <v>155</v>
      </c>
      <c r="K168" s="138">
        <v>12</v>
      </c>
      <c r="L168" s="198">
        <v>0</v>
      </c>
      <c r="M168" s="197"/>
      <c r="N168" s="199">
        <f>ROUND($L$168*$K$168,2)</f>
        <v>0</v>
      </c>
      <c r="O168" s="188"/>
      <c r="P168" s="188"/>
      <c r="Q168" s="188"/>
      <c r="R168" s="22"/>
      <c r="T168" s="127"/>
      <c r="U168" s="28" t="s">
        <v>39</v>
      </c>
      <c r="V168" s="128">
        <v>0</v>
      </c>
      <c r="W168" s="128">
        <f>$V$168*$K$168</f>
        <v>0</v>
      </c>
      <c r="X168" s="128">
        <v>0.00011</v>
      </c>
      <c r="Y168" s="128">
        <f>$X$168*$K$168</f>
        <v>0.00132</v>
      </c>
      <c r="Z168" s="128">
        <v>0</v>
      </c>
      <c r="AA168" s="129">
        <f>$Z$168*$K$168</f>
        <v>0</v>
      </c>
      <c r="AR168" s="6" t="s">
        <v>243</v>
      </c>
      <c r="AT168" s="6" t="s">
        <v>173</v>
      </c>
      <c r="AU168" s="6" t="s">
        <v>110</v>
      </c>
      <c r="AY168" s="6" t="s">
        <v>147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17</v>
      </c>
      <c r="BK168" s="82">
        <f>ROUND($L$168*$K$168,2)</f>
        <v>0</v>
      </c>
      <c r="BL168" s="6" t="s">
        <v>152</v>
      </c>
    </row>
    <row r="169" spans="2:64" s="6" customFormat="1" ht="27" customHeight="1">
      <c r="B169" s="21"/>
      <c r="C169" s="135" t="s">
        <v>271</v>
      </c>
      <c r="D169" s="135" t="s">
        <v>173</v>
      </c>
      <c r="E169" s="136" t="s">
        <v>272</v>
      </c>
      <c r="F169" s="196" t="s">
        <v>273</v>
      </c>
      <c r="G169" s="197"/>
      <c r="H169" s="197"/>
      <c r="I169" s="197"/>
      <c r="J169" s="137" t="s">
        <v>155</v>
      </c>
      <c r="K169" s="138">
        <v>12</v>
      </c>
      <c r="L169" s="198">
        <v>0</v>
      </c>
      <c r="M169" s="197"/>
      <c r="N169" s="199">
        <f>ROUND($L$169*$K$169,2)</f>
        <v>0</v>
      </c>
      <c r="O169" s="188"/>
      <c r="P169" s="188"/>
      <c r="Q169" s="188"/>
      <c r="R169" s="22"/>
      <c r="T169" s="127"/>
      <c r="U169" s="28" t="s">
        <v>39</v>
      </c>
      <c r="V169" s="128">
        <v>0</v>
      </c>
      <c r="W169" s="128">
        <f>$V$169*$K$169</f>
        <v>0</v>
      </c>
      <c r="X169" s="128">
        <v>0.0006</v>
      </c>
      <c r="Y169" s="128">
        <f>$X$169*$K$169</f>
        <v>0.0072</v>
      </c>
      <c r="Z169" s="128">
        <v>0</v>
      </c>
      <c r="AA169" s="129">
        <f>$Z$169*$K$169</f>
        <v>0</v>
      </c>
      <c r="AR169" s="6" t="s">
        <v>243</v>
      </c>
      <c r="AT169" s="6" t="s">
        <v>173</v>
      </c>
      <c r="AU169" s="6" t="s">
        <v>110</v>
      </c>
      <c r="AY169" s="6" t="s">
        <v>147</v>
      </c>
      <c r="BE169" s="82">
        <f>IF($U$169="základní",$N$169,0)</f>
        <v>0</v>
      </c>
      <c r="BF169" s="82">
        <f>IF($U$169="snížená",$N$169,0)</f>
        <v>0</v>
      </c>
      <c r="BG169" s="82">
        <f>IF($U$169="zákl. přenesená",$N$169,0)</f>
        <v>0</v>
      </c>
      <c r="BH169" s="82">
        <f>IF($U$169="sníž. přenesená",$N$169,0)</f>
        <v>0</v>
      </c>
      <c r="BI169" s="82">
        <f>IF($U$169="nulová",$N$169,0)</f>
        <v>0</v>
      </c>
      <c r="BJ169" s="6" t="s">
        <v>17</v>
      </c>
      <c r="BK169" s="82">
        <f>ROUND($L$169*$K$169,2)</f>
        <v>0</v>
      </c>
      <c r="BL169" s="6" t="s">
        <v>152</v>
      </c>
    </row>
    <row r="170" spans="2:64" s="6" customFormat="1" ht="27" customHeight="1">
      <c r="B170" s="21"/>
      <c r="C170" s="123" t="s">
        <v>274</v>
      </c>
      <c r="D170" s="123" t="s">
        <v>148</v>
      </c>
      <c r="E170" s="124" t="s">
        <v>275</v>
      </c>
      <c r="F170" s="187" t="s">
        <v>276</v>
      </c>
      <c r="G170" s="188"/>
      <c r="H170" s="188"/>
      <c r="I170" s="188"/>
      <c r="J170" s="125" t="s">
        <v>261</v>
      </c>
      <c r="K170" s="126">
        <v>7</v>
      </c>
      <c r="L170" s="189">
        <v>0</v>
      </c>
      <c r="M170" s="188"/>
      <c r="N170" s="190">
        <f>ROUND($L$170*$K$170,2)</f>
        <v>0</v>
      </c>
      <c r="O170" s="188"/>
      <c r="P170" s="188"/>
      <c r="Q170" s="188"/>
      <c r="R170" s="22"/>
      <c r="T170" s="127"/>
      <c r="U170" s="28" t="s">
        <v>39</v>
      </c>
      <c r="V170" s="128">
        <v>1.5</v>
      </c>
      <c r="W170" s="128">
        <f>$V$170*$K$170</f>
        <v>10.5</v>
      </c>
      <c r="X170" s="128">
        <v>0.01999</v>
      </c>
      <c r="Y170" s="128">
        <f>$X$170*$K$170</f>
        <v>0.13993</v>
      </c>
      <c r="Z170" s="128">
        <v>0</v>
      </c>
      <c r="AA170" s="129">
        <f>$Z$170*$K$170</f>
        <v>0</v>
      </c>
      <c r="AR170" s="6" t="s">
        <v>152</v>
      </c>
      <c r="AT170" s="6" t="s">
        <v>148</v>
      </c>
      <c r="AU170" s="6" t="s">
        <v>110</v>
      </c>
      <c r="AY170" s="6" t="s">
        <v>147</v>
      </c>
      <c r="BE170" s="82">
        <f>IF($U$170="základní",$N$170,0)</f>
        <v>0</v>
      </c>
      <c r="BF170" s="82">
        <f>IF($U$170="snížená",$N$170,0)</f>
        <v>0</v>
      </c>
      <c r="BG170" s="82">
        <f>IF($U$170="zákl. přenesená",$N$170,0)</f>
        <v>0</v>
      </c>
      <c r="BH170" s="82">
        <f>IF($U$170="sníž. přenesená",$N$170,0)</f>
        <v>0</v>
      </c>
      <c r="BI170" s="82">
        <f>IF($U$170="nulová",$N$170,0)</f>
        <v>0</v>
      </c>
      <c r="BJ170" s="6" t="s">
        <v>17</v>
      </c>
      <c r="BK170" s="82">
        <f>ROUND($L$170*$K$170,2)</f>
        <v>0</v>
      </c>
      <c r="BL170" s="6" t="s">
        <v>152</v>
      </c>
    </row>
    <row r="171" spans="2:64" s="6" customFormat="1" ht="15.75" customHeight="1">
      <c r="B171" s="21"/>
      <c r="C171" s="123" t="s">
        <v>277</v>
      </c>
      <c r="D171" s="123" t="s">
        <v>148</v>
      </c>
      <c r="E171" s="124" t="s">
        <v>278</v>
      </c>
      <c r="F171" s="187" t="s">
        <v>279</v>
      </c>
      <c r="G171" s="188"/>
      <c r="H171" s="188"/>
      <c r="I171" s="188"/>
      <c r="J171" s="125" t="s">
        <v>261</v>
      </c>
      <c r="K171" s="126">
        <v>3</v>
      </c>
      <c r="L171" s="189">
        <v>0</v>
      </c>
      <c r="M171" s="188"/>
      <c r="N171" s="190">
        <f>ROUND($L$171*$K$171,2)</f>
        <v>0</v>
      </c>
      <c r="O171" s="188"/>
      <c r="P171" s="188"/>
      <c r="Q171" s="188"/>
      <c r="R171" s="22"/>
      <c r="T171" s="127"/>
      <c r="U171" s="28" t="s">
        <v>39</v>
      </c>
      <c r="V171" s="128">
        <v>0.362</v>
      </c>
      <c r="W171" s="128">
        <f>$V$171*$K$171</f>
        <v>1.0859999999999999</v>
      </c>
      <c r="X171" s="128">
        <v>0</v>
      </c>
      <c r="Y171" s="128">
        <f>$X$171*$K$171</f>
        <v>0</v>
      </c>
      <c r="Z171" s="128">
        <v>0.01946</v>
      </c>
      <c r="AA171" s="129">
        <f>$Z$171*$K$171</f>
        <v>0.05838</v>
      </c>
      <c r="AR171" s="6" t="s">
        <v>152</v>
      </c>
      <c r="AT171" s="6" t="s">
        <v>148</v>
      </c>
      <c r="AU171" s="6" t="s">
        <v>110</v>
      </c>
      <c r="AY171" s="6" t="s">
        <v>147</v>
      </c>
      <c r="BE171" s="82">
        <f>IF($U$171="základní",$N$171,0)</f>
        <v>0</v>
      </c>
      <c r="BF171" s="82">
        <f>IF($U$171="snížená",$N$171,0)</f>
        <v>0</v>
      </c>
      <c r="BG171" s="82">
        <f>IF($U$171="zákl. přenesená",$N$171,0)</f>
        <v>0</v>
      </c>
      <c r="BH171" s="82">
        <f>IF($U$171="sníž. přenesená",$N$171,0)</f>
        <v>0</v>
      </c>
      <c r="BI171" s="82">
        <f>IF($U$171="nulová",$N$171,0)</f>
        <v>0</v>
      </c>
      <c r="BJ171" s="6" t="s">
        <v>17</v>
      </c>
      <c r="BK171" s="82">
        <f>ROUND($L$171*$K$171,2)</f>
        <v>0</v>
      </c>
      <c r="BL171" s="6" t="s">
        <v>152</v>
      </c>
    </row>
    <row r="172" spans="2:64" s="6" customFormat="1" ht="15.75" customHeight="1">
      <c r="B172" s="21"/>
      <c r="C172" s="135" t="s">
        <v>280</v>
      </c>
      <c r="D172" s="135" t="s">
        <v>173</v>
      </c>
      <c r="E172" s="136" t="s">
        <v>281</v>
      </c>
      <c r="F172" s="196" t="s">
        <v>282</v>
      </c>
      <c r="G172" s="197"/>
      <c r="H172" s="197"/>
      <c r="I172" s="197"/>
      <c r="J172" s="137" t="s">
        <v>155</v>
      </c>
      <c r="K172" s="138">
        <v>3</v>
      </c>
      <c r="L172" s="198">
        <v>0</v>
      </c>
      <c r="M172" s="197"/>
      <c r="N172" s="199">
        <f>ROUND($L$172*$K$172,2)</f>
        <v>0</v>
      </c>
      <c r="O172" s="188"/>
      <c r="P172" s="188"/>
      <c r="Q172" s="188"/>
      <c r="R172" s="22"/>
      <c r="T172" s="127"/>
      <c r="U172" s="28" t="s">
        <v>39</v>
      </c>
      <c r="V172" s="128">
        <v>0</v>
      </c>
      <c r="W172" s="128">
        <f>$V$172*$K$172</f>
        <v>0</v>
      </c>
      <c r="X172" s="128">
        <v>1E-05</v>
      </c>
      <c r="Y172" s="128">
        <f>$X$172*$K$172</f>
        <v>3.0000000000000004E-05</v>
      </c>
      <c r="Z172" s="128">
        <v>0</v>
      </c>
      <c r="AA172" s="129">
        <f>$Z$172*$K$172</f>
        <v>0</v>
      </c>
      <c r="AR172" s="6" t="s">
        <v>243</v>
      </c>
      <c r="AT172" s="6" t="s">
        <v>173</v>
      </c>
      <c r="AU172" s="6" t="s">
        <v>110</v>
      </c>
      <c r="AY172" s="6" t="s">
        <v>147</v>
      </c>
      <c r="BE172" s="82">
        <f>IF($U$172="základní",$N$172,0)</f>
        <v>0</v>
      </c>
      <c r="BF172" s="82">
        <f>IF($U$172="snížená",$N$172,0)</f>
        <v>0</v>
      </c>
      <c r="BG172" s="82">
        <f>IF($U$172="zákl. přenesená",$N$172,0)</f>
        <v>0</v>
      </c>
      <c r="BH172" s="82">
        <f>IF($U$172="sníž. přenesená",$N$172,0)</f>
        <v>0</v>
      </c>
      <c r="BI172" s="82">
        <f>IF($U$172="nulová",$N$172,0)</f>
        <v>0</v>
      </c>
      <c r="BJ172" s="6" t="s">
        <v>17</v>
      </c>
      <c r="BK172" s="82">
        <f>ROUND($L$172*$K$172,2)</f>
        <v>0</v>
      </c>
      <c r="BL172" s="6" t="s">
        <v>152</v>
      </c>
    </row>
    <row r="173" spans="2:64" s="6" customFormat="1" ht="15.75" customHeight="1">
      <c r="B173" s="21"/>
      <c r="C173" s="135" t="s">
        <v>283</v>
      </c>
      <c r="D173" s="135" t="s">
        <v>173</v>
      </c>
      <c r="E173" s="136" t="s">
        <v>284</v>
      </c>
      <c r="F173" s="196" t="s">
        <v>285</v>
      </c>
      <c r="G173" s="197"/>
      <c r="H173" s="197"/>
      <c r="I173" s="197"/>
      <c r="J173" s="137" t="s">
        <v>155</v>
      </c>
      <c r="K173" s="138">
        <v>6</v>
      </c>
      <c r="L173" s="198">
        <v>0</v>
      </c>
      <c r="M173" s="197"/>
      <c r="N173" s="199">
        <f>ROUND($L$173*$K$173,2)</f>
        <v>0</v>
      </c>
      <c r="O173" s="188"/>
      <c r="P173" s="188"/>
      <c r="Q173" s="188"/>
      <c r="R173" s="22"/>
      <c r="T173" s="127"/>
      <c r="U173" s="28" t="s">
        <v>39</v>
      </c>
      <c r="V173" s="128">
        <v>0</v>
      </c>
      <c r="W173" s="128">
        <f>$V$173*$K$173</f>
        <v>0</v>
      </c>
      <c r="X173" s="128">
        <v>2E-05</v>
      </c>
      <c r="Y173" s="128">
        <f>$X$173*$K$173</f>
        <v>0.00012000000000000002</v>
      </c>
      <c r="Z173" s="128">
        <v>0</v>
      </c>
      <c r="AA173" s="129">
        <f>$Z$173*$K$173</f>
        <v>0</v>
      </c>
      <c r="AR173" s="6" t="s">
        <v>243</v>
      </c>
      <c r="AT173" s="6" t="s">
        <v>173</v>
      </c>
      <c r="AU173" s="6" t="s">
        <v>110</v>
      </c>
      <c r="AY173" s="6" t="s">
        <v>147</v>
      </c>
      <c r="BE173" s="82">
        <f>IF($U$173="základní",$N$173,0)</f>
        <v>0</v>
      </c>
      <c r="BF173" s="82">
        <f>IF($U$173="snížená",$N$173,0)</f>
        <v>0</v>
      </c>
      <c r="BG173" s="82">
        <f>IF($U$173="zákl. přenesená",$N$173,0)</f>
        <v>0</v>
      </c>
      <c r="BH173" s="82">
        <f>IF($U$173="sníž. přenesená",$N$173,0)</f>
        <v>0</v>
      </c>
      <c r="BI173" s="82">
        <f>IF($U$173="nulová",$N$173,0)</f>
        <v>0</v>
      </c>
      <c r="BJ173" s="6" t="s">
        <v>17</v>
      </c>
      <c r="BK173" s="82">
        <f>ROUND($L$173*$K$173,2)</f>
        <v>0</v>
      </c>
      <c r="BL173" s="6" t="s">
        <v>152</v>
      </c>
    </row>
    <row r="174" spans="2:64" s="6" customFormat="1" ht="27" customHeight="1">
      <c r="B174" s="21"/>
      <c r="C174" s="123" t="s">
        <v>286</v>
      </c>
      <c r="D174" s="123" t="s">
        <v>148</v>
      </c>
      <c r="E174" s="124" t="s">
        <v>287</v>
      </c>
      <c r="F174" s="187" t="s">
        <v>288</v>
      </c>
      <c r="G174" s="188"/>
      <c r="H174" s="188"/>
      <c r="I174" s="188"/>
      <c r="J174" s="125" t="s">
        <v>261</v>
      </c>
      <c r="K174" s="126">
        <v>8</v>
      </c>
      <c r="L174" s="189">
        <v>0</v>
      </c>
      <c r="M174" s="188"/>
      <c r="N174" s="190">
        <f>ROUND($L$174*$K$174,2)</f>
        <v>0</v>
      </c>
      <c r="O174" s="188"/>
      <c r="P174" s="188"/>
      <c r="Q174" s="188"/>
      <c r="R174" s="22"/>
      <c r="T174" s="127"/>
      <c r="U174" s="28" t="s">
        <v>39</v>
      </c>
      <c r="V174" s="128">
        <v>1.1</v>
      </c>
      <c r="W174" s="128">
        <f>$V$174*$K$174</f>
        <v>8.8</v>
      </c>
      <c r="X174" s="128">
        <v>0.01558</v>
      </c>
      <c r="Y174" s="128">
        <f>$X$174*$K$174</f>
        <v>0.12464</v>
      </c>
      <c r="Z174" s="128">
        <v>0</v>
      </c>
      <c r="AA174" s="129">
        <f>$Z$174*$K$174</f>
        <v>0</v>
      </c>
      <c r="AR174" s="6" t="s">
        <v>152</v>
      </c>
      <c r="AT174" s="6" t="s">
        <v>148</v>
      </c>
      <c r="AU174" s="6" t="s">
        <v>110</v>
      </c>
      <c r="AY174" s="6" t="s">
        <v>147</v>
      </c>
      <c r="BE174" s="82">
        <f>IF($U$174="základní",$N$174,0)</f>
        <v>0</v>
      </c>
      <c r="BF174" s="82">
        <f>IF($U$174="snížená",$N$174,0)</f>
        <v>0</v>
      </c>
      <c r="BG174" s="82">
        <f>IF($U$174="zákl. přenesená",$N$174,0)</f>
        <v>0</v>
      </c>
      <c r="BH174" s="82">
        <f>IF($U$174="sníž. přenesená",$N$174,0)</f>
        <v>0</v>
      </c>
      <c r="BI174" s="82">
        <f>IF($U$174="nulová",$N$174,0)</f>
        <v>0</v>
      </c>
      <c r="BJ174" s="6" t="s">
        <v>17</v>
      </c>
      <c r="BK174" s="82">
        <f>ROUND($L$174*$K$174,2)</f>
        <v>0</v>
      </c>
      <c r="BL174" s="6" t="s">
        <v>152</v>
      </c>
    </row>
    <row r="175" spans="2:64" s="6" customFormat="1" ht="27" customHeight="1">
      <c r="B175" s="21"/>
      <c r="C175" s="123" t="s">
        <v>289</v>
      </c>
      <c r="D175" s="123" t="s">
        <v>148</v>
      </c>
      <c r="E175" s="124" t="s">
        <v>290</v>
      </c>
      <c r="F175" s="187" t="s">
        <v>291</v>
      </c>
      <c r="G175" s="188"/>
      <c r="H175" s="188"/>
      <c r="I175" s="188"/>
      <c r="J175" s="125" t="s">
        <v>261</v>
      </c>
      <c r="K175" s="126">
        <v>1</v>
      </c>
      <c r="L175" s="189">
        <v>0</v>
      </c>
      <c r="M175" s="188"/>
      <c r="N175" s="190">
        <f>ROUND($L$175*$K$175,2)</f>
        <v>0</v>
      </c>
      <c r="O175" s="188"/>
      <c r="P175" s="188"/>
      <c r="Q175" s="188"/>
      <c r="R175" s="22"/>
      <c r="T175" s="127"/>
      <c r="U175" s="28" t="s">
        <v>39</v>
      </c>
      <c r="V175" s="128">
        <v>1.5</v>
      </c>
      <c r="W175" s="128">
        <f>$V$175*$K$175</f>
        <v>1.5</v>
      </c>
      <c r="X175" s="128">
        <v>0.0147</v>
      </c>
      <c r="Y175" s="128">
        <f>$X$175*$K$175</f>
        <v>0.0147</v>
      </c>
      <c r="Z175" s="128">
        <v>0</v>
      </c>
      <c r="AA175" s="129">
        <f>$Z$175*$K$175</f>
        <v>0</v>
      </c>
      <c r="AR175" s="6" t="s">
        <v>152</v>
      </c>
      <c r="AT175" s="6" t="s">
        <v>148</v>
      </c>
      <c r="AU175" s="6" t="s">
        <v>110</v>
      </c>
      <c r="AY175" s="6" t="s">
        <v>147</v>
      </c>
      <c r="BE175" s="82">
        <f>IF($U$175="základní",$N$175,0)</f>
        <v>0</v>
      </c>
      <c r="BF175" s="82">
        <f>IF($U$175="snížená",$N$175,0)</f>
        <v>0</v>
      </c>
      <c r="BG175" s="82">
        <f>IF($U$175="zákl. přenesená",$N$175,0)</f>
        <v>0</v>
      </c>
      <c r="BH175" s="82">
        <f>IF($U$175="sníž. přenesená",$N$175,0)</f>
        <v>0</v>
      </c>
      <c r="BI175" s="82">
        <f>IF($U$175="nulová",$N$175,0)</f>
        <v>0</v>
      </c>
      <c r="BJ175" s="6" t="s">
        <v>17</v>
      </c>
      <c r="BK175" s="82">
        <f>ROUND($L$175*$K$175,2)</f>
        <v>0</v>
      </c>
      <c r="BL175" s="6" t="s">
        <v>152</v>
      </c>
    </row>
    <row r="176" spans="2:64" s="6" customFormat="1" ht="27" customHeight="1">
      <c r="B176" s="21"/>
      <c r="C176" s="123" t="s">
        <v>292</v>
      </c>
      <c r="D176" s="123" t="s">
        <v>148</v>
      </c>
      <c r="E176" s="124" t="s">
        <v>293</v>
      </c>
      <c r="F176" s="187" t="s">
        <v>294</v>
      </c>
      <c r="G176" s="188"/>
      <c r="H176" s="188"/>
      <c r="I176" s="188"/>
      <c r="J176" s="125" t="s">
        <v>261</v>
      </c>
      <c r="K176" s="126">
        <v>36</v>
      </c>
      <c r="L176" s="189">
        <v>0</v>
      </c>
      <c r="M176" s="188"/>
      <c r="N176" s="190">
        <f>ROUND($L$176*$K$176,2)</f>
        <v>0</v>
      </c>
      <c r="O176" s="188"/>
      <c r="P176" s="188"/>
      <c r="Q176" s="188"/>
      <c r="R176" s="22"/>
      <c r="T176" s="127"/>
      <c r="U176" s="28" t="s">
        <v>39</v>
      </c>
      <c r="V176" s="128">
        <v>0.29</v>
      </c>
      <c r="W176" s="128">
        <f>$V$176*$K$176</f>
        <v>10.44</v>
      </c>
      <c r="X176" s="128">
        <v>9E-05</v>
      </c>
      <c r="Y176" s="128">
        <f>$X$176*$K$176</f>
        <v>0.0032400000000000003</v>
      </c>
      <c r="Z176" s="128">
        <v>0</v>
      </c>
      <c r="AA176" s="129">
        <f>$Z$176*$K$176</f>
        <v>0</v>
      </c>
      <c r="AR176" s="6" t="s">
        <v>152</v>
      </c>
      <c r="AT176" s="6" t="s">
        <v>148</v>
      </c>
      <c r="AU176" s="6" t="s">
        <v>110</v>
      </c>
      <c r="AY176" s="6" t="s">
        <v>147</v>
      </c>
      <c r="BE176" s="82">
        <f>IF($U$176="základní",$N$176,0)</f>
        <v>0</v>
      </c>
      <c r="BF176" s="82">
        <f>IF($U$176="snížená",$N$176,0)</f>
        <v>0</v>
      </c>
      <c r="BG176" s="82">
        <f>IF($U$176="zákl. přenesená",$N$176,0)</f>
        <v>0</v>
      </c>
      <c r="BH176" s="82">
        <f>IF($U$176="sníž. přenesená",$N$176,0)</f>
        <v>0</v>
      </c>
      <c r="BI176" s="82">
        <f>IF($U$176="nulová",$N$176,0)</f>
        <v>0</v>
      </c>
      <c r="BJ176" s="6" t="s">
        <v>17</v>
      </c>
      <c r="BK176" s="82">
        <f>ROUND($L$176*$K$176,2)</f>
        <v>0</v>
      </c>
      <c r="BL176" s="6" t="s">
        <v>152</v>
      </c>
    </row>
    <row r="177" spans="2:64" s="6" customFormat="1" ht="27" customHeight="1">
      <c r="B177" s="21"/>
      <c r="C177" s="135" t="s">
        <v>295</v>
      </c>
      <c r="D177" s="135" t="s">
        <v>173</v>
      </c>
      <c r="E177" s="136" t="s">
        <v>296</v>
      </c>
      <c r="F177" s="196" t="s">
        <v>297</v>
      </c>
      <c r="G177" s="197"/>
      <c r="H177" s="197"/>
      <c r="I177" s="197"/>
      <c r="J177" s="137" t="s">
        <v>155</v>
      </c>
      <c r="K177" s="138">
        <v>36</v>
      </c>
      <c r="L177" s="198">
        <v>0</v>
      </c>
      <c r="M177" s="197"/>
      <c r="N177" s="199">
        <f>ROUND($L$177*$K$177,2)</f>
        <v>0</v>
      </c>
      <c r="O177" s="188"/>
      <c r="P177" s="188"/>
      <c r="Q177" s="188"/>
      <c r="R177" s="22"/>
      <c r="T177" s="127"/>
      <c r="U177" s="28" t="s">
        <v>39</v>
      </c>
      <c r="V177" s="128">
        <v>0</v>
      </c>
      <c r="W177" s="128">
        <f>$V$177*$K$177</f>
        <v>0</v>
      </c>
      <c r="X177" s="128">
        <v>0.0005</v>
      </c>
      <c r="Y177" s="128">
        <f>$X$177*$K$177</f>
        <v>0.018000000000000002</v>
      </c>
      <c r="Z177" s="128">
        <v>0</v>
      </c>
      <c r="AA177" s="129">
        <f>$Z$177*$K$177</f>
        <v>0</v>
      </c>
      <c r="AR177" s="6" t="s">
        <v>243</v>
      </c>
      <c r="AT177" s="6" t="s">
        <v>173</v>
      </c>
      <c r="AU177" s="6" t="s">
        <v>110</v>
      </c>
      <c r="AY177" s="6" t="s">
        <v>147</v>
      </c>
      <c r="BE177" s="82">
        <f>IF($U$177="základní",$N$177,0)</f>
        <v>0</v>
      </c>
      <c r="BF177" s="82">
        <f>IF($U$177="snížená",$N$177,0)</f>
        <v>0</v>
      </c>
      <c r="BG177" s="82">
        <f>IF($U$177="zákl. přenesená",$N$177,0)</f>
        <v>0</v>
      </c>
      <c r="BH177" s="82">
        <f>IF($U$177="sníž. přenesená",$N$177,0)</f>
        <v>0</v>
      </c>
      <c r="BI177" s="82">
        <f>IF($U$177="nulová",$N$177,0)</f>
        <v>0</v>
      </c>
      <c r="BJ177" s="6" t="s">
        <v>17</v>
      </c>
      <c r="BK177" s="82">
        <f>ROUND($L$177*$K$177,2)</f>
        <v>0</v>
      </c>
      <c r="BL177" s="6" t="s">
        <v>152</v>
      </c>
    </row>
    <row r="178" spans="2:64" s="6" customFormat="1" ht="15.75" customHeight="1">
      <c r="B178" s="21"/>
      <c r="C178" s="123" t="s">
        <v>298</v>
      </c>
      <c r="D178" s="123" t="s">
        <v>148</v>
      </c>
      <c r="E178" s="124" t="s">
        <v>299</v>
      </c>
      <c r="F178" s="187" t="s">
        <v>300</v>
      </c>
      <c r="G178" s="188"/>
      <c r="H178" s="188"/>
      <c r="I178" s="188"/>
      <c r="J178" s="125" t="s">
        <v>261</v>
      </c>
      <c r="K178" s="126">
        <v>3</v>
      </c>
      <c r="L178" s="189">
        <v>0</v>
      </c>
      <c r="M178" s="188"/>
      <c r="N178" s="190">
        <f>ROUND($L$178*$K$178,2)</f>
        <v>0</v>
      </c>
      <c r="O178" s="188"/>
      <c r="P178" s="188"/>
      <c r="Q178" s="188"/>
      <c r="R178" s="22"/>
      <c r="T178" s="127"/>
      <c r="U178" s="28" t="s">
        <v>39</v>
      </c>
      <c r="V178" s="128">
        <v>0.217</v>
      </c>
      <c r="W178" s="128">
        <f>$V$178*$K$178</f>
        <v>0.651</v>
      </c>
      <c r="X178" s="128">
        <v>0</v>
      </c>
      <c r="Y178" s="128">
        <f>$X$178*$K$178</f>
        <v>0</v>
      </c>
      <c r="Z178" s="128">
        <v>0.00156</v>
      </c>
      <c r="AA178" s="129">
        <f>$Z$178*$K$178</f>
        <v>0.00468</v>
      </c>
      <c r="AR178" s="6" t="s">
        <v>152</v>
      </c>
      <c r="AT178" s="6" t="s">
        <v>148</v>
      </c>
      <c r="AU178" s="6" t="s">
        <v>110</v>
      </c>
      <c r="AY178" s="6" t="s">
        <v>147</v>
      </c>
      <c r="BE178" s="82">
        <f>IF($U$178="základní",$N$178,0)</f>
        <v>0</v>
      </c>
      <c r="BF178" s="82">
        <f>IF($U$178="snížená",$N$178,0)</f>
        <v>0</v>
      </c>
      <c r="BG178" s="82">
        <f>IF($U$178="zákl. přenesená",$N$178,0)</f>
        <v>0</v>
      </c>
      <c r="BH178" s="82">
        <f>IF($U$178="sníž. přenesená",$N$178,0)</f>
        <v>0</v>
      </c>
      <c r="BI178" s="82">
        <f>IF($U$178="nulová",$N$178,0)</f>
        <v>0</v>
      </c>
      <c r="BJ178" s="6" t="s">
        <v>17</v>
      </c>
      <c r="BK178" s="82">
        <f>ROUND($L$178*$K$178,2)</f>
        <v>0</v>
      </c>
      <c r="BL178" s="6" t="s">
        <v>152</v>
      </c>
    </row>
    <row r="179" spans="2:64" s="6" customFormat="1" ht="39" customHeight="1">
      <c r="B179" s="21"/>
      <c r="C179" s="123" t="s">
        <v>301</v>
      </c>
      <c r="D179" s="123" t="s">
        <v>148</v>
      </c>
      <c r="E179" s="124" t="s">
        <v>302</v>
      </c>
      <c r="F179" s="187" t="s">
        <v>303</v>
      </c>
      <c r="G179" s="188"/>
      <c r="H179" s="188"/>
      <c r="I179" s="188"/>
      <c r="J179" s="125" t="s">
        <v>261</v>
      </c>
      <c r="K179" s="126">
        <v>1</v>
      </c>
      <c r="L179" s="189">
        <v>0</v>
      </c>
      <c r="M179" s="188"/>
      <c r="N179" s="190">
        <f>ROUND($L$179*$K$179,2)</f>
        <v>0</v>
      </c>
      <c r="O179" s="188"/>
      <c r="P179" s="188"/>
      <c r="Q179" s="188"/>
      <c r="R179" s="22"/>
      <c r="T179" s="127"/>
      <c r="U179" s="28" t="s">
        <v>39</v>
      </c>
      <c r="V179" s="128">
        <v>0.2</v>
      </c>
      <c r="W179" s="128">
        <f>$V$179*$K$179</f>
        <v>0.2</v>
      </c>
      <c r="X179" s="128">
        <v>0.00196</v>
      </c>
      <c r="Y179" s="128">
        <f>$X$179*$K$179</f>
        <v>0.00196</v>
      </c>
      <c r="Z179" s="128">
        <v>0</v>
      </c>
      <c r="AA179" s="129">
        <f>$Z$179*$K$179</f>
        <v>0</v>
      </c>
      <c r="AR179" s="6" t="s">
        <v>152</v>
      </c>
      <c r="AT179" s="6" t="s">
        <v>148</v>
      </c>
      <c r="AU179" s="6" t="s">
        <v>110</v>
      </c>
      <c r="AY179" s="6" t="s">
        <v>147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6" t="s">
        <v>17</v>
      </c>
      <c r="BK179" s="82">
        <f>ROUND($L$179*$K$179,2)</f>
        <v>0</v>
      </c>
      <c r="BL179" s="6" t="s">
        <v>152</v>
      </c>
    </row>
    <row r="180" spans="2:64" s="6" customFormat="1" ht="27" customHeight="1">
      <c r="B180" s="21"/>
      <c r="C180" s="123" t="s">
        <v>304</v>
      </c>
      <c r="D180" s="123" t="s">
        <v>148</v>
      </c>
      <c r="E180" s="124" t="s">
        <v>305</v>
      </c>
      <c r="F180" s="187" t="s">
        <v>306</v>
      </c>
      <c r="G180" s="188"/>
      <c r="H180" s="188"/>
      <c r="I180" s="188"/>
      <c r="J180" s="125" t="s">
        <v>261</v>
      </c>
      <c r="K180" s="126">
        <v>8</v>
      </c>
      <c r="L180" s="189">
        <v>0</v>
      </c>
      <c r="M180" s="188"/>
      <c r="N180" s="190">
        <f>ROUND($L$180*$K$180,2)</f>
        <v>0</v>
      </c>
      <c r="O180" s="188"/>
      <c r="P180" s="188"/>
      <c r="Q180" s="188"/>
      <c r="R180" s="22"/>
      <c r="T180" s="127"/>
      <c r="U180" s="28" t="s">
        <v>39</v>
      </c>
      <c r="V180" s="128">
        <v>0.2</v>
      </c>
      <c r="W180" s="128">
        <f>$V$180*$K$180</f>
        <v>1.6</v>
      </c>
      <c r="X180" s="128">
        <v>0.00184</v>
      </c>
      <c r="Y180" s="128">
        <f>$X$180*$K$180</f>
        <v>0.01472</v>
      </c>
      <c r="Z180" s="128">
        <v>0</v>
      </c>
      <c r="AA180" s="129">
        <f>$Z$180*$K$180</f>
        <v>0</v>
      </c>
      <c r="AR180" s="6" t="s">
        <v>152</v>
      </c>
      <c r="AT180" s="6" t="s">
        <v>148</v>
      </c>
      <c r="AU180" s="6" t="s">
        <v>110</v>
      </c>
      <c r="AY180" s="6" t="s">
        <v>147</v>
      </c>
      <c r="BE180" s="82">
        <f>IF($U$180="základní",$N$180,0)</f>
        <v>0</v>
      </c>
      <c r="BF180" s="82">
        <f>IF($U$180="snížená",$N$180,0)</f>
        <v>0</v>
      </c>
      <c r="BG180" s="82">
        <f>IF($U$180="zákl. přenesená",$N$180,0)</f>
        <v>0</v>
      </c>
      <c r="BH180" s="82">
        <f>IF($U$180="sníž. přenesená",$N$180,0)</f>
        <v>0</v>
      </c>
      <c r="BI180" s="82">
        <f>IF($U$180="nulová",$N$180,0)</f>
        <v>0</v>
      </c>
      <c r="BJ180" s="6" t="s">
        <v>17</v>
      </c>
      <c r="BK180" s="82">
        <f>ROUND($L$180*$K$180,2)</f>
        <v>0</v>
      </c>
      <c r="BL180" s="6" t="s">
        <v>152</v>
      </c>
    </row>
    <row r="181" spans="2:64" s="6" customFormat="1" ht="15.75" customHeight="1">
      <c r="B181" s="21"/>
      <c r="C181" s="123" t="s">
        <v>307</v>
      </c>
      <c r="D181" s="123" t="s">
        <v>148</v>
      </c>
      <c r="E181" s="124" t="s">
        <v>308</v>
      </c>
      <c r="F181" s="187" t="s">
        <v>309</v>
      </c>
      <c r="G181" s="188"/>
      <c r="H181" s="188"/>
      <c r="I181" s="188"/>
      <c r="J181" s="125" t="s">
        <v>155</v>
      </c>
      <c r="K181" s="126">
        <v>3</v>
      </c>
      <c r="L181" s="189">
        <v>0</v>
      </c>
      <c r="M181" s="188"/>
      <c r="N181" s="190">
        <f>ROUND($L$181*$K$181,2)</f>
        <v>0</v>
      </c>
      <c r="O181" s="188"/>
      <c r="P181" s="188"/>
      <c r="Q181" s="188"/>
      <c r="R181" s="22"/>
      <c r="T181" s="127"/>
      <c r="U181" s="28" t="s">
        <v>39</v>
      </c>
      <c r="V181" s="128">
        <v>0.038</v>
      </c>
      <c r="W181" s="128">
        <f>$V$181*$K$181</f>
        <v>0.11399999999999999</v>
      </c>
      <c r="X181" s="128">
        <v>0</v>
      </c>
      <c r="Y181" s="128">
        <f>$X$181*$K$181</f>
        <v>0</v>
      </c>
      <c r="Z181" s="128">
        <v>0.00085</v>
      </c>
      <c r="AA181" s="129">
        <f>$Z$181*$K$181</f>
        <v>0.0025499999999999997</v>
      </c>
      <c r="AR181" s="6" t="s">
        <v>152</v>
      </c>
      <c r="AT181" s="6" t="s">
        <v>148</v>
      </c>
      <c r="AU181" s="6" t="s">
        <v>110</v>
      </c>
      <c r="AY181" s="6" t="s">
        <v>147</v>
      </c>
      <c r="BE181" s="82">
        <f>IF($U$181="základní",$N$181,0)</f>
        <v>0</v>
      </c>
      <c r="BF181" s="82">
        <f>IF($U$181="snížená",$N$181,0)</f>
        <v>0</v>
      </c>
      <c r="BG181" s="82">
        <f>IF($U$181="zákl. přenesená",$N$181,0)</f>
        <v>0</v>
      </c>
      <c r="BH181" s="82">
        <f>IF($U$181="sníž. přenesená",$N$181,0)</f>
        <v>0</v>
      </c>
      <c r="BI181" s="82">
        <f>IF($U$181="nulová",$N$181,0)</f>
        <v>0</v>
      </c>
      <c r="BJ181" s="6" t="s">
        <v>17</v>
      </c>
      <c r="BK181" s="82">
        <f>ROUND($L$181*$K$181,2)</f>
        <v>0</v>
      </c>
      <c r="BL181" s="6" t="s">
        <v>152</v>
      </c>
    </row>
    <row r="182" spans="2:63" s="113" customFormat="1" ht="30.75" customHeight="1">
      <c r="B182" s="114"/>
      <c r="D182" s="122" t="s">
        <v>169</v>
      </c>
      <c r="N182" s="195">
        <f>$BK$182</f>
        <v>0</v>
      </c>
      <c r="O182" s="194"/>
      <c r="P182" s="194"/>
      <c r="Q182" s="194"/>
      <c r="R182" s="117"/>
      <c r="T182" s="118"/>
      <c r="W182" s="119">
        <f>SUM($W$183:$W$185)</f>
        <v>36</v>
      </c>
      <c r="Y182" s="119">
        <f>SUM($Y$183:$Y$185)</f>
        <v>0.1164</v>
      </c>
      <c r="AA182" s="120">
        <f>SUM($AA$183:$AA$185)</f>
        <v>0</v>
      </c>
      <c r="AR182" s="116" t="s">
        <v>110</v>
      </c>
      <c r="AT182" s="116" t="s">
        <v>73</v>
      </c>
      <c r="AU182" s="116" t="s">
        <v>17</v>
      </c>
      <c r="AY182" s="116" t="s">
        <v>147</v>
      </c>
      <c r="BK182" s="121">
        <f>SUM($BK$183:$BK$185)</f>
        <v>0</v>
      </c>
    </row>
    <row r="183" spans="2:64" s="6" customFormat="1" ht="27" customHeight="1">
      <c r="B183" s="21"/>
      <c r="C183" s="123" t="s">
        <v>310</v>
      </c>
      <c r="D183" s="123" t="s">
        <v>148</v>
      </c>
      <c r="E183" s="124" t="s">
        <v>311</v>
      </c>
      <c r="F183" s="187" t="s">
        <v>312</v>
      </c>
      <c r="G183" s="188"/>
      <c r="H183" s="188"/>
      <c r="I183" s="188"/>
      <c r="J183" s="125" t="s">
        <v>261</v>
      </c>
      <c r="K183" s="126">
        <v>12</v>
      </c>
      <c r="L183" s="189">
        <v>0</v>
      </c>
      <c r="M183" s="188"/>
      <c r="N183" s="190">
        <f>ROUND($L$183*$K$183,2)</f>
        <v>0</v>
      </c>
      <c r="O183" s="188"/>
      <c r="P183" s="188"/>
      <c r="Q183" s="188"/>
      <c r="R183" s="22"/>
      <c r="T183" s="127"/>
      <c r="U183" s="28" t="s">
        <v>39</v>
      </c>
      <c r="V183" s="128">
        <v>2.5</v>
      </c>
      <c r="W183" s="128">
        <f>$V$183*$K$183</f>
        <v>30</v>
      </c>
      <c r="X183" s="128">
        <v>0.0092</v>
      </c>
      <c r="Y183" s="128">
        <f>$X$183*$K$183</f>
        <v>0.1104</v>
      </c>
      <c r="Z183" s="128">
        <v>0</v>
      </c>
      <c r="AA183" s="129">
        <f>$Z$183*$K$183</f>
        <v>0</v>
      </c>
      <c r="AR183" s="6" t="s">
        <v>152</v>
      </c>
      <c r="AT183" s="6" t="s">
        <v>148</v>
      </c>
      <c r="AU183" s="6" t="s">
        <v>110</v>
      </c>
      <c r="AY183" s="6" t="s">
        <v>147</v>
      </c>
      <c r="BE183" s="82">
        <f>IF($U$183="základní",$N$183,0)</f>
        <v>0</v>
      </c>
      <c r="BF183" s="82">
        <f>IF($U$183="snížená",$N$183,0)</f>
        <v>0</v>
      </c>
      <c r="BG183" s="82">
        <f>IF($U$183="zákl. přenesená",$N$183,0)</f>
        <v>0</v>
      </c>
      <c r="BH183" s="82">
        <f>IF($U$183="sníž. přenesená",$N$183,0)</f>
        <v>0</v>
      </c>
      <c r="BI183" s="82">
        <f>IF($U$183="nulová",$N$183,0)</f>
        <v>0</v>
      </c>
      <c r="BJ183" s="6" t="s">
        <v>17</v>
      </c>
      <c r="BK183" s="82">
        <f>ROUND($L$183*$K$183,2)</f>
        <v>0</v>
      </c>
      <c r="BL183" s="6" t="s">
        <v>152</v>
      </c>
    </row>
    <row r="184" spans="2:64" s="6" customFormat="1" ht="15.75" customHeight="1">
      <c r="B184" s="21"/>
      <c r="C184" s="123" t="s">
        <v>313</v>
      </c>
      <c r="D184" s="123" t="s">
        <v>148</v>
      </c>
      <c r="E184" s="124" t="s">
        <v>314</v>
      </c>
      <c r="F184" s="187" t="s">
        <v>315</v>
      </c>
      <c r="G184" s="188"/>
      <c r="H184" s="188"/>
      <c r="I184" s="188"/>
      <c r="J184" s="125" t="s">
        <v>261</v>
      </c>
      <c r="K184" s="126">
        <v>12</v>
      </c>
      <c r="L184" s="189">
        <v>0</v>
      </c>
      <c r="M184" s="188"/>
      <c r="N184" s="190">
        <f>ROUND($L$184*$K$184,2)</f>
        <v>0</v>
      </c>
      <c r="O184" s="188"/>
      <c r="P184" s="188"/>
      <c r="Q184" s="188"/>
      <c r="R184" s="22"/>
      <c r="T184" s="127"/>
      <c r="U184" s="28" t="s">
        <v>39</v>
      </c>
      <c r="V184" s="128">
        <v>0.5</v>
      </c>
      <c r="W184" s="128">
        <f>$V$184*$K$184</f>
        <v>6</v>
      </c>
      <c r="X184" s="128">
        <v>0.0005</v>
      </c>
      <c r="Y184" s="128">
        <f>$X$184*$K$184</f>
        <v>0.006</v>
      </c>
      <c r="Z184" s="128">
        <v>0</v>
      </c>
      <c r="AA184" s="129">
        <f>$Z$184*$K$184</f>
        <v>0</v>
      </c>
      <c r="AR184" s="6" t="s">
        <v>152</v>
      </c>
      <c r="AT184" s="6" t="s">
        <v>148</v>
      </c>
      <c r="AU184" s="6" t="s">
        <v>110</v>
      </c>
      <c r="AY184" s="6" t="s">
        <v>147</v>
      </c>
      <c r="BE184" s="82">
        <f>IF($U$184="základní",$N$184,0)</f>
        <v>0</v>
      </c>
      <c r="BF184" s="82">
        <f>IF($U$184="snížená",$N$184,0)</f>
        <v>0</v>
      </c>
      <c r="BG184" s="82">
        <f>IF($U$184="zákl. přenesená",$N$184,0)</f>
        <v>0</v>
      </c>
      <c r="BH184" s="82">
        <f>IF($U$184="sníž. přenesená",$N$184,0)</f>
        <v>0</v>
      </c>
      <c r="BI184" s="82">
        <f>IF($U$184="nulová",$N$184,0)</f>
        <v>0</v>
      </c>
      <c r="BJ184" s="6" t="s">
        <v>17</v>
      </c>
      <c r="BK184" s="82">
        <f>ROUND($L$184*$K$184,2)</f>
        <v>0</v>
      </c>
      <c r="BL184" s="6" t="s">
        <v>152</v>
      </c>
    </row>
    <row r="185" spans="2:64" s="6" customFormat="1" ht="27" customHeight="1">
      <c r="B185" s="21"/>
      <c r="C185" s="123" t="s">
        <v>316</v>
      </c>
      <c r="D185" s="123" t="s">
        <v>148</v>
      </c>
      <c r="E185" s="124" t="s">
        <v>317</v>
      </c>
      <c r="F185" s="187" t="s">
        <v>318</v>
      </c>
      <c r="G185" s="188"/>
      <c r="H185" s="188"/>
      <c r="I185" s="188"/>
      <c r="J185" s="125" t="s">
        <v>159</v>
      </c>
      <c r="K185" s="130">
        <v>0</v>
      </c>
      <c r="L185" s="189">
        <v>0</v>
      </c>
      <c r="M185" s="188"/>
      <c r="N185" s="190">
        <f>ROUND($L$185*$K$185,2)</f>
        <v>0</v>
      </c>
      <c r="O185" s="188"/>
      <c r="P185" s="188"/>
      <c r="Q185" s="188"/>
      <c r="R185" s="22"/>
      <c r="T185" s="127"/>
      <c r="U185" s="28" t="s">
        <v>39</v>
      </c>
      <c r="V185" s="128">
        <v>0</v>
      </c>
      <c r="W185" s="128">
        <f>$V$185*$K$185</f>
        <v>0</v>
      </c>
      <c r="X185" s="128">
        <v>0</v>
      </c>
      <c r="Y185" s="128">
        <f>$X$185*$K$185</f>
        <v>0</v>
      </c>
      <c r="Z185" s="128">
        <v>0</v>
      </c>
      <c r="AA185" s="129">
        <f>$Z$185*$K$185</f>
        <v>0</v>
      </c>
      <c r="AR185" s="6" t="s">
        <v>152</v>
      </c>
      <c r="AT185" s="6" t="s">
        <v>148</v>
      </c>
      <c r="AU185" s="6" t="s">
        <v>110</v>
      </c>
      <c r="AY185" s="6" t="s">
        <v>147</v>
      </c>
      <c r="BE185" s="82">
        <f>IF($U$185="základní",$N$185,0)</f>
        <v>0</v>
      </c>
      <c r="BF185" s="82">
        <f>IF($U$185="snížená",$N$185,0)</f>
        <v>0</v>
      </c>
      <c r="BG185" s="82">
        <f>IF($U$185="zákl. přenesená",$N$185,0)</f>
        <v>0</v>
      </c>
      <c r="BH185" s="82">
        <f>IF($U$185="sníž. přenesená",$N$185,0)</f>
        <v>0</v>
      </c>
      <c r="BI185" s="82">
        <f>IF($U$185="nulová",$N$185,0)</f>
        <v>0</v>
      </c>
      <c r="BJ185" s="6" t="s">
        <v>17</v>
      </c>
      <c r="BK185" s="82">
        <f>ROUND($L$185*$K$185,2)</f>
        <v>0</v>
      </c>
      <c r="BL185" s="6" t="s">
        <v>152</v>
      </c>
    </row>
    <row r="186" spans="2:63" s="6" customFormat="1" ht="51" customHeight="1">
      <c r="B186" s="21"/>
      <c r="D186" s="115" t="s">
        <v>160</v>
      </c>
      <c r="N186" s="183">
        <f>$BK$186</f>
        <v>0</v>
      </c>
      <c r="O186" s="143"/>
      <c r="P186" s="143"/>
      <c r="Q186" s="143"/>
      <c r="R186" s="22"/>
      <c r="T186" s="53"/>
      <c r="AA186" s="54"/>
      <c r="AT186" s="6" t="s">
        <v>73</v>
      </c>
      <c r="AU186" s="6" t="s">
        <v>74</v>
      </c>
      <c r="AY186" s="6" t="s">
        <v>161</v>
      </c>
      <c r="BK186" s="82">
        <f>SUM($BK$187:$BK$191)</f>
        <v>0</v>
      </c>
    </row>
    <row r="187" spans="2:63" s="6" customFormat="1" ht="23.25" customHeight="1">
      <c r="B187" s="21"/>
      <c r="C187" s="131"/>
      <c r="D187" s="131" t="s">
        <v>148</v>
      </c>
      <c r="E187" s="132"/>
      <c r="F187" s="191"/>
      <c r="G187" s="192"/>
      <c r="H187" s="192"/>
      <c r="I187" s="192"/>
      <c r="J187" s="133"/>
      <c r="K187" s="130"/>
      <c r="L187" s="189"/>
      <c r="M187" s="188"/>
      <c r="N187" s="190">
        <f>$BK$187</f>
        <v>0</v>
      </c>
      <c r="O187" s="188"/>
      <c r="P187" s="188"/>
      <c r="Q187" s="188"/>
      <c r="R187" s="22"/>
      <c r="T187" s="127"/>
      <c r="U187" s="134" t="s">
        <v>39</v>
      </c>
      <c r="AA187" s="54"/>
      <c r="AT187" s="6" t="s">
        <v>161</v>
      </c>
      <c r="AU187" s="6" t="s">
        <v>17</v>
      </c>
      <c r="AY187" s="6" t="s">
        <v>161</v>
      </c>
      <c r="BE187" s="82">
        <f>IF($U$187="základní",$N$187,0)</f>
        <v>0</v>
      </c>
      <c r="BF187" s="82">
        <f>IF($U$187="snížená",$N$187,0)</f>
        <v>0</v>
      </c>
      <c r="BG187" s="82">
        <f>IF($U$187="zákl. přenesená",$N$187,0)</f>
        <v>0</v>
      </c>
      <c r="BH187" s="82">
        <f>IF($U$187="sníž. přenesená",$N$187,0)</f>
        <v>0</v>
      </c>
      <c r="BI187" s="82">
        <f>IF($U$187="nulová",$N$187,0)</f>
        <v>0</v>
      </c>
      <c r="BJ187" s="6" t="s">
        <v>17</v>
      </c>
      <c r="BK187" s="82">
        <f>$L$187*$K$187</f>
        <v>0</v>
      </c>
    </row>
    <row r="188" spans="2:63" s="6" customFormat="1" ht="23.25" customHeight="1">
      <c r="B188" s="21"/>
      <c r="C188" s="131"/>
      <c r="D188" s="131" t="s">
        <v>148</v>
      </c>
      <c r="E188" s="132"/>
      <c r="F188" s="191"/>
      <c r="G188" s="192"/>
      <c r="H188" s="192"/>
      <c r="I188" s="192"/>
      <c r="J188" s="133"/>
      <c r="K188" s="130"/>
      <c r="L188" s="189"/>
      <c r="M188" s="188"/>
      <c r="N188" s="190">
        <f>$BK$188</f>
        <v>0</v>
      </c>
      <c r="O188" s="188"/>
      <c r="P188" s="188"/>
      <c r="Q188" s="188"/>
      <c r="R188" s="22"/>
      <c r="T188" s="127"/>
      <c r="U188" s="134" t="s">
        <v>39</v>
      </c>
      <c r="AA188" s="54"/>
      <c r="AT188" s="6" t="s">
        <v>161</v>
      </c>
      <c r="AU188" s="6" t="s">
        <v>17</v>
      </c>
      <c r="AY188" s="6" t="s">
        <v>161</v>
      </c>
      <c r="BE188" s="82">
        <f>IF($U$188="základní",$N$188,0)</f>
        <v>0</v>
      </c>
      <c r="BF188" s="82">
        <f>IF($U$188="snížená",$N$188,0)</f>
        <v>0</v>
      </c>
      <c r="BG188" s="82">
        <f>IF($U$188="zákl. přenesená",$N$188,0)</f>
        <v>0</v>
      </c>
      <c r="BH188" s="82">
        <f>IF($U$188="sníž. přenesená",$N$188,0)</f>
        <v>0</v>
      </c>
      <c r="BI188" s="82">
        <f>IF($U$188="nulová",$N$188,0)</f>
        <v>0</v>
      </c>
      <c r="BJ188" s="6" t="s">
        <v>17</v>
      </c>
      <c r="BK188" s="82">
        <f>$L$188*$K$188</f>
        <v>0</v>
      </c>
    </row>
    <row r="189" spans="2:63" s="6" customFormat="1" ht="23.25" customHeight="1">
      <c r="B189" s="21"/>
      <c r="C189" s="131"/>
      <c r="D189" s="131" t="s">
        <v>148</v>
      </c>
      <c r="E189" s="132"/>
      <c r="F189" s="191"/>
      <c r="G189" s="192"/>
      <c r="H189" s="192"/>
      <c r="I189" s="192"/>
      <c r="J189" s="133"/>
      <c r="K189" s="130"/>
      <c r="L189" s="189"/>
      <c r="M189" s="188"/>
      <c r="N189" s="190">
        <f>$BK$189</f>
        <v>0</v>
      </c>
      <c r="O189" s="188"/>
      <c r="P189" s="188"/>
      <c r="Q189" s="188"/>
      <c r="R189" s="22"/>
      <c r="T189" s="127"/>
      <c r="U189" s="134" t="s">
        <v>39</v>
      </c>
      <c r="AA189" s="54"/>
      <c r="AT189" s="6" t="s">
        <v>161</v>
      </c>
      <c r="AU189" s="6" t="s">
        <v>17</v>
      </c>
      <c r="AY189" s="6" t="s">
        <v>161</v>
      </c>
      <c r="BE189" s="82">
        <f>IF($U$189="základní",$N$189,0)</f>
        <v>0</v>
      </c>
      <c r="BF189" s="82">
        <f>IF($U$189="snížená",$N$189,0)</f>
        <v>0</v>
      </c>
      <c r="BG189" s="82">
        <f>IF($U$189="zákl. přenesená",$N$189,0)</f>
        <v>0</v>
      </c>
      <c r="BH189" s="82">
        <f>IF($U$189="sníž. přenesená",$N$189,0)</f>
        <v>0</v>
      </c>
      <c r="BI189" s="82">
        <f>IF($U$189="nulová",$N$189,0)</f>
        <v>0</v>
      </c>
      <c r="BJ189" s="6" t="s">
        <v>17</v>
      </c>
      <c r="BK189" s="82">
        <f>$L$189*$K$189</f>
        <v>0</v>
      </c>
    </row>
    <row r="190" spans="2:63" s="6" customFormat="1" ht="23.25" customHeight="1">
      <c r="B190" s="21"/>
      <c r="C190" s="131"/>
      <c r="D190" s="131" t="s">
        <v>148</v>
      </c>
      <c r="E190" s="132"/>
      <c r="F190" s="191"/>
      <c r="G190" s="192"/>
      <c r="H190" s="192"/>
      <c r="I190" s="192"/>
      <c r="J190" s="133"/>
      <c r="K190" s="130"/>
      <c r="L190" s="189"/>
      <c r="M190" s="188"/>
      <c r="N190" s="190">
        <f>$BK$190</f>
        <v>0</v>
      </c>
      <c r="O190" s="188"/>
      <c r="P190" s="188"/>
      <c r="Q190" s="188"/>
      <c r="R190" s="22"/>
      <c r="T190" s="127"/>
      <c r="U190" s="134" t="s">
        <v>39</v>
      </c>
      <c r="AA190" s="54"/>
      <c r="AT190" s="6" t="s">
        <v>161</v>
      </c>
      <c r="AU190" s="6" t="s">
        <v>17</v>
      </c>
      <c r="AY190" s="6" t="s">
        <v>161</v>
      </c>
      <c r="BE190" s="82">
        <f>IF($U$190="základní",$N$190,0)</f>
        <v>0</v>
      </c>
      <c r="BF190" s="82">
        <f>IF($U$190="snížená",$N$190,0)</f>
        <v>0</v>
      </c>
      <c r="BG190" s="82">
        <f>IF($U$190="zákl. přenesená",$N$190,0)</f>
        <v>0</v>
      </c>
      <c r="BH190" s="82">
        <f>IF($U$190="sníž. přenesená",$N$190,0)</f>
        <v>0</v>
      </c>
      <c r="BI190" s="82">
        <f>IF($U$190="nulová",$N$190,0)</f>
        <v>0</v>
      </c>
      <c r="BJ190" s="6" t="s">
        <v>17</v>
      </c>
      <c r="BK190" s="82">
        <f>$L$190*$K$190</f>
        <v>0</v>
      </c>
    </row>
    <row r="191" spans="2:63" s="6" customFormat="1" ht="23.25" customHeight="1">
      <c r="B191" s="21"/>
      <c r="C191" s="131"/>
      <c r="D191" s="131" t="s">
        <v>148</v>
      </c>
      <c r="E191" s="132"/>
      <c r="F191" s="191"/>
      <c r="G191" s="192"/>
      <c r="H191" s="192"/>
      <c r="I191" s="192"/>
      <c r="J191" s="133"/>
      <c r="K191" s="130"/>
      <c r="L191" s="189"/>
      <c r="M191" s="188"/>
      <c r="N191" s="190">
        <f>$BK$191</f>
        <v>0</v>
      </c>
      <c r="O191" s="188"/>
      <c r="P191" s="188"/>
      <c r="Q191" s="188"/>
      <c r="R191" s="22"/>
      <c r="T191" s="127"/>
      <c r="U191" s="134" t="s">
        <v>39</v>
      </c>
      <c r="V191" s="40"/>
      <c r="W191" s="40"/>
      <c r="X191" s="40"/>
      <c r="Y191" s="40"/>
      <c r="Z191" s="40"/>
      <c r="AA191" s="42"/>
      <c r="AT191" s="6" t="s">
        <v>161</v>
      </c>
      <c r="AU191" s="6" t="s">
        <v>17</v>
      </c>
      <c r="AY191" s="6" t="s">
        <v>161</v>
      </c>
      <c r="BE191" s="82">
        <f>IF($U$191="základní",$N$191,0)</f>
        <v>0</v>
      </c>
      <c r="BF191" s="82">
        <f>IF($U$191="snížená",$N$191,0)</f>
        <v>0</v>
      </c>
      <c r="BG191" s="82">
        <f>IF($U$191="zákl. přenesená",$N$191,0)</f>
        <v>0</v>
      </c>
      <c r="BH191" s="82">
        <f>IF($U$191="sníž. přenesená",$N$191,0)</f>
        <v>0</v>
      </c>
      <c r="BI191" s="82">
        <f>IF($U$191="nulová",$N$191,0)</f>
        <v>0</v>
      </c>
      <c r="BJ191" s="6" t="s">
        <v>17</v>
      </c>
      <c r="BK191" s="82">
        <f>$L$191*$K$191</f>
        <v>0</v>
      </c>
    </row>
    <row r="192" spans="2:18" s="6" customFormat="1" ht="7.5" customHeight="1">
      <c r="B192" s="43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5"/>
    </row>
    <row r="193" s="2" customFormat="1" ht="14.25" customHeight="1"/>
  </sheetData>
  <sheetProtection/>
  <mergeCells count="250">
    <mergeCell ref="N182:Q182"/>
    <mergeCell ref="N186:Q186"/>
    <mergeCell ref="H1:K1"/>
    <mergeCell ref="S2:AC2"/>
    <mergeCell ref="N125:Q125"/>
    <mergeCell ref="N126:Q126"/>
    <mergeCell ref="N127:Q127"/>
    <mergeCell ref="N130:Q130"/>
    <mergeCell ref="N131:Q131"/>
    <mergeCell ref="N133:Q13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5:I185"/>
    <mergeCell ref="L185:M185"/>
    <mergeCell ref="N185:Q185"/>
    <mergeCell ref="F187:I187"/>
    <mergeCell ref="L187:M187"/>
    <mergeCell ref="N187:Q187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3:I163"/>
    <mergeCell ref="L163:M163"/>
    <mergeCell ref="N163:Q163"/>
    <mergeCell ref="F165:I165"/>
    <mergeCell ref="L165:M165"/>
    <mergeCell ref="N165:Q165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2:I152"/>
    <mergeCell ref="L152:M152"/>
    <mergeCell ref="N152:Q152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5:I135"/>
    <mergeCell ref="L135:M135"/>
    <mergeCell ref="N135:Q135"/>
    <mergeCell ref="N134:Q134"/>
    <mergeCell ref="F128:I128"/>
    <mergeCell ref="L128:M128"/>
    <mergeCell ref="N128:Q128"/>
    <mergeCell ref="F129:I129"/>
    <mergeCell ref="L129:M129"/>
    <mergeCell ref="N129:Q129"/>
    <mergeCell ref="F117:P117"/>
    <mergeCell ref="M119:P119"/>
    <mergeCell ref="M121:Q121"/>
    <mergeCell ref="M122:Q122"/>
    <mergeCell ref="F124:I124"/>
    <mergeCell ref="L124:M124"/>
    <mergeCell ref="N124:Q124"/>
    <mergeCell ref="D105:H105"/>
    <mergeCell ref="N105:Q105"/>
    <mergeCell ref="N106:Q106"/>
    <mergeCell ref="L108:Q108"/>
    <mergeCell ref="C114:Q114"/>
    <mergeCell ref="F116:P116"/>
    <mergeCell ref="D102:H102"/>
    <mergeCell ref="N102:Q102"/>
    <mergeCell ref="D103:H103"/>
    <mergeCell ref="N103:Q103"/>
    <mergeCell ref="D104:H104"/>
    <mergeCell ref="N104:Q104"/>
    <mergeCell ref="N95:Q95"/>
    <mergeCell ref="N96:Q96"/>
    <mergeCell ref="N97:Q97"/>
    <mergeCell ref="N98:Q98"/>
    <mergeCell ref="N100:Q100"/>
    <mergeCell ref="D101:H101"/>
    <mergeCell ref="N101:Q101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87:D192">
      <formula1>"K,M"</formula1>
    </dataValidation>
    <dataValidation type="list" allowBlank="1" showInputMessage="1" showErrorMessage="1" error="Povoleny jsou hodnoty základní, snížená, zákl. přenesená, sníž. přenesená, nulová." sqref="U187:U19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5"/>
      <c r="B1" s="202"/>
      <c r="C1" s="202"/>
      <c r="D1" s="203" t="s">
        <v>1</v>
      </c>
      <c r="E1" s="202"/>
      <c r="F1" s="204" t="s">
        <v>353</v>
      </c>
      <c r="G1" s="204"/>
      <c r="H1" s="206" t="s">
        <v>354</v>
      </c>
      <c r="I1" s="206"/>
      <c r="J1" s="206"/>
      <c r="K1" s="206"/>
      <c r="L1" s="204" t="s">
        <v>355</v>
      </c>
      <c r="M1" s="202"/>
      <c r="N1" s="202"/>
      <c r="O1" s="203" t="s">
        <v>109</v>
      </c>
      <c r="P1" s="202"/>
      <c r="Q1" s="202"/>
      <c r="R1" s="202"/>
      <c r="S1" s="204" t="s">
        <v>356</v>
      </c>
      <c r="T1" s="204"/>
      <c r="U1" s="205"/>
      <c r="V1" s="20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9" t="s">
        <v>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S2" s="173" t="s">
        <v>5</v>
      </c>
      <c r="T2" s="140"/>
      <c r="U2" s="140"/>
      <c r="V2" s="140"/>
      <c r="W2" s="140"/>
      <c r="X2" s="140"/>
      <c r="Y2" s="140"/>
      <c r="Z2" s="140"/>
      <c r="AA2" s="140"/>
      <c r="AB2" s="140"/>
      <c r="AC2" s="14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110</v>
      </c>
    </row>
    <row r="4" spans="2:46" s="2" customFormat="1" ht="37.5" customHeight="1">
      <c r="B4" s="10"/>
      <c r="C4" s="141" t="s">
        <v>111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74" t="str">
        <f>'Rekapitulace stavby'!$K$6</f>
        <v>130105 - MENDELU  - revitalizace objektu  Z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R6" s="11"/>
    </row>
    <row r="7" spans="2:18" s="6" customFormat="1" ht="18.75" customHeight="1">
      <c r="B7" s="21"/>
      <c r="D7" s="14" t="s">
        <v>112</v>
      </c>
      <c r="F7" s="145" t="s">
        <v>319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75" t="str">
        <f>'Rekapitulace stavby'!$AN$8</f>
        <v>30.05.2013</v>
      </c>
      <c r="P9" s="143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56"/>
      <c r="P11" s="143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56"/>
      <c r="P12" s="143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76" t="str">
        <f>IF('Rekapitulace stavby'!$AN$13="","",'Rekapitulace stavby'!$AN$13)</f>
        <v>Vyplň údaj</v>
      </c>
      <c r="P14" s="143"/>
      <c r="R14" s="22"/>
    </row>
    <row r="15" spans="2:18" s="6" customFormat="1" ht="18.75" customHeight="1">
      <c r="B15" s="21"/>
      <c r="E15" s="176" t="str">
        <f>IF('Rekapitulace stavby'!$E$14="","",'Rekapitulace stavby'!$E$14)</f>
        <v>Vyplň údaj</v>
      </c>
      <c r="F15" s="143"/>
      <c r="G15" s="143"/>
      <c r="H15" s="143"/>
      <c r="I15" s="143"/>
      <c r="J15" s="143"/>
      <c r="K15" s="143"/>
      <c r="L15" s="143"/>
      <c r="M15" s="15" t="s">
        <v>27</v>
      </c>
      <c r="O15" s="176" t="str">
        <f>IF('Rekapitulace stavby'!$AN$14="","",'Rekapitulace stavby'!$AN$14)</f>
        <v>Vyplň údaj</v>
      </c>
      <c r="P15" s="143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56"/>
      <c r="P17" s="143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56"/>
      <c r="P18" s="143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56"/>
      <c r="P20" s="143"/>
      <c r="R20" s="22"/>
    </row>
    <row r="21" spans="2:18" s="6" customFormat="1" ht="18.75" customHeight="1">
      <c r="B21" s="21"/>
      <c r="E21" s="16" t="s">
        <v>34</v>
      </c>
      <c r="M21" s="15" t="s">
        <v>27</v>
      </c>
      <c r="O21" s="156"/>
      <c r="P21" s="143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114</v>
      </c>
      <c r="M24" s="147">
        <f>$N$88</f>
        <v>0</v>
      </c>
      <c r="N24" s="143"/>
      <c r="O24" s="143"/>
      <c r="P24" s="143"/>
      <c r="R24" s="22"/>
    </row>
    <row r="25" spans="2:18" s="6" customFormat="1" ht="15" customHeight="1">
      <c r="B25" s="21"/>
      <c r="D25" s="20" t="s">
        <v>101</v>
      </c>
      <c r="M25" s="147">
        <f>$N$98</f>
        <v>0</v>
      </c>
      <c r="N25" s="143"/>
      <c r="O25" s="143"/>
      <c r="P25" s="143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37</v>
      </c>
      <c r="M27" s="177">
        <f>ROUNDUP($M$24+$M$25,2)</f>
        <v>0</v>
      </c>
      <c r="N27" s="143"/>
      <c r="O27" s="143"/>
      <c r="P27" s="143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38</v>
      </c>
      <c r="E29" s="26" t="s">
        <v>39</v>
      </c>
      <c r="F29" s="27">
        <v>0.21</v>
      </c>
      <c r="G29" s="92" t="s">
        <v>40</v>
      </c>
      <c r="H29" s="178">
        <f>ROUNDUP((((SUM($BE$98:$BE$105)+SUM($BE$123:$BE$152))+SUM($BE$154:$BE$158))),2)</f>
        <v>0</v>
      </c>
      <c r="I29" s="143"/>
      <c r="J29" s="143"/>
      <c r="M29" s="178">
        <f>ROUNDUP((((SUM($BE$98:$BE$105)+SUM($BE$123:$BE$152))*$F$29)+SUM($BE$154:$BE$158)*$F$29),1)</f>
        <v>0</v>
      </c>
      <c r="N29" s="143"/>
      <c r="O29" s="143"/>
      <c r="P29" s="143"/>
      <c r="R29" s="22"/>
    </row>
    <row r="30" spans="2:18" s="6" customFormat="1" ht="15" customHeight="1">
      <c r="B30" s="21"/>
      <c r="E30" s="26" t="s">
        <v>41</v>
      </c>
      <c r="F30" s="27">
        <v>0.15</v>
      </c>
      <c r="G30" s="92" t="s">
        <v>40</v>
      </c>
      <c r="H30" s="178">
        <f>ROUNDUP((((SUM($BF$98:$BF$105)+SUM($BF$123:$BF$152))+SUM($BF$154:$BF$158))),2)</f>
        <v>0</v>
      </c>
      <c r="I30" s="143"/>
      <c r="J30" s="143"/>
      <c r="M30" s="178">
        <f>ROUNDUP((((SUM($BF$98:$BF$105)+SUM($BF$123:$BF$152))*$F$30)+SUM($BF$154:$BF$158)*$F$30),1)</f>
        <v>0</v>
      </c>
      <c r="N30" s="143"/>
      <c r="O30" s="143"/>
      <c r="P30" s="143"/>
      <c r="R30" s="22"/>
    </row>
    <row r="31" spans="2:18" s="6" customFormat="1" ht="15" customHeight="1" hidden="1">
      <c r="B31" s="21"/>
      <c r="E31" s="26" t="s">
        <v>42</v>
      </c>
      <c r="F31" s="27">
        <v>0.21</v>
      </c>
      <c r="G31" s="92" t="s">
        <v>40</v>
      </c>
      <c r="H31" s="178">
        <f>ROUNDUP((((SUM($BG$98:$BG$105)+SUM($BG$123:$BG$152))+SUM($BG$154:$BG$158))),2)</f>
        <v>0</v>
      </c>
      <c r="I31" s="143"/>
      <c r="J31" s="143"/>
      <c r="M31" s="178">
        <v>0</v>
      </c>
      <c r="N31" s="143"/>
      <c r="O31" s="143"/>
      <c r="P31" s="143"/>
      <c r="R31" s="22"/>
    </row>
    <row r="32" spans="2:18" s="6" customFormat="1" ht="15" customHeight="1" hidden="1">
      <c r="B32" s="21"/>
      <c r="E32" s="26" t="s">
        <v>43</v>
      </c>
      <c r="F32" s="27">
        <v>0.15</v>
      </c>
      <c r="G32" s="92" t="s">
        <v>40</v>
      </c>
      <c r="H32" s="178">
        <f>ROUNDUP((((SUM($BH$98:$BH$105)+SUM($BH$123:$BH$152))+SUM($BH$154:$BH$158))),2)</f>
        <v>0</v>
      </c>
      <c r="I32" s="143"/>
      <c r="J32" s="143"/>
      <c r="M32" s="178">
        <v>0</v>
      </c>
      <c r="N32" s="143"/>
      <c r="O32" s="143"/>
      <c r="P32" s="143"/>
      <c r="R32" s="22"/>
    </row>
    <row r="33" spans="2:18" s="6" customFormat="1" ht="15" customHeight="1" hidden="1">
      <c r="B33" s="21"/>
      <c r="E33" s="26" t="s">
        <v>44</v>
      </c>
      <c r="F33" s="27">
        <v>0</v>
      </c>
      <c r="G33" s="92" t="s">
        <v>40</v>
      </c>
      <c r="H33" s="178">
        <f>ROUNDUP((((SUM($BI$98:$BI$105)+SUM($BI$123:$BI$152))+SUM($BI$154:$BI$158))),2)</f>
        <v>0</v>
      </c>
      <c r="I33" s="143"/>
      <c r="J33" s="143"/>
      <c r="M33" s="178">
        <v>0</v>
      </c>
      <c r="N33" s="143"/>
      <c r="O33" s="143"/>
      <c r="P33" s="143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45</v>
      </c>
      <c r="E35" s="32"/>
      <c r="F35" s="32"/>
      <c r="G35" s="93" t="s">
        <v>46</v>
      </c>
      <c r="H35" s="33" t="s">
        <v>47</v>
      </c>
      <c r="I35" s="32"/>
      <c r="J35" s="32"/>
      <c r="K35" s="32"/>
      <c r="L35" s="154">
        <f>ROUNDUP(SUM($M$27:$M$33),2)</f>
        <v>0</v>
      </c>
      <c r="M35" s="153"/>
      <c r="N35" s="153"/>
      <c r="O35" s="153"/>
      <c r="P35" s="155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48</v>
      </c>
      <c r="E50" s="35"/>
      <c r="F50" s="35"/>
      <c r="G50" s="35"/>
      <c r="H50" s="36"/>
      <c r="J50" s="34" t="s">
        <v>49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50</v>
      </c>
      <c r="E59" s="40"/>
      <c r="F59" s="40"/>
      <c r="G59" s="41" t="s">
        <v>51</v>
      </c>
      <c r="H59" s="42"/>
      <c r="J59" s="39" t="s">
        <v>50</v>
      </c>
      <c r="K59" s="40"/>
      <c r="L59" s="40"/>
      <c r="M59" s="40"/>
      <c r="N59" s="41" t="s">
        <v>51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52</v>
      </c>
      <c r="E61" s="35"/>
      <c r="F61" s="35"/>
      <c r="G61" s="35"/>
      <c r="H61" s="36"/>
      <c r="J61" s="34" t="s">
        <v>53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50</v>
      </c>
      <c r="E70" s="40"/>
      <c r="F70" s="40"/>
      <c r="G70" s="41" t="s">
        <v>51</v>
      </c>
      <c r="H70" s="42"/>
      <c r="J70" s="39" t="s">
        <v>50</v>
      </c>
      <c r="K70" s="40"/>
      <c r="L70" s="40"/>
      <c r="M70" s="40"/>
      <c r="N70" s="41" t="s">
        <v>51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1" t="s">
        <v>115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4" t="str">
        <f>$F$6</f>
        <v>130105 - MENDELU  - revitalizace objektu  Z</v>
      </c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R78" s="22"/>
    </row>
    <row r="79" spans="2:18" s="6" customFormat="1" ht="15" customHeight="1">
      <c r="B79" s="21"/>
      <c r="C79" s="14" t="s">
        <v>112</v>
      </c>
      <c r="F79" s="145" t="str">
        <f>$F$7</f>
        <v>3b.3 - SO 3b - Úprava kanceláří a chodeb ve 2.NP - ZTI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BRNO</v>
      </c>
      <c r="K81" s="15" t="s">
        <v>20</v>
      </c>
      <c r="M81" s="179" t="str">
        <f>IF($O$9="","",$O$9)</f>
        <v>30.05.2013</v>
      </c>
      <c r="N81" s="143"/>
      <c r="O81" s="143"/>
      <c r="P81" s="143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MENDELOVA  UNIVERZITA  V  BRNĚ</v>
      </c>
      <c r="K83" s="15" t="s">
        <v>30</v>
      </c>
      <c r="M83" s="156" t="str">
        <f>$E$18</f>
        <v>ing.Helena Zámečníková Brno</v>
      </c>
      <c r="N83" s="143"/>
      <c r="O83" s="143"/>
      <c r="P83" s="143"/>
      <c r="Q83" s="143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56" t="str">
        <f>$E$21</f>
        <v>Kepertová</v>
      </c>
      <c r="N84" s="143"/>
      <c r="O84" s="143"/>
      <c r="P84" s="143"/>
      <c r="Q84" s="143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80" t="s">
        <v>116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80" t="s">
        <v>117</v>
      </c>
      <c r="O86" s="143"/>
      <c r="P86" s="143"/>
      <c r="Q86" s="143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118</v>
      </c>
      <c r="N88" s="169">
        <f>ROUNDUP($N$123,2)</f>
        <v>0</v>
      </c>
      <c r="O88" s="143"/>
      <c r="P88" s="143"/>
      <c r="Q88" s="143"/>
      <c r="R88" s="22"/>
      <c r="AU88" s="6" t="s">
        <v>119</v>
      </c>
    </row>
    <row r="89" spans="2:18" s="65" customFormat="1" ht="25.5" customHeight="1">
      <c r="B89" s="94"/>
      <c r="D89" s="95" t="s">
        <v>163</v>
      </c>
      <c r="N89" s="181">
        <f>ROUNDUP($N$124,2)</f>
        <v>0</v>
      </c>
      <c r="O89" s="182"/>
      <c r="P89" s="182"/>
      <c r="Q89" s="182"/>
      <c r="R89" s="96"/>
    </row>
    <row r="90" spans="2:18" s="90" customFormat="1" ht="21" customHeight="1">
      <c r="B90" s="97"/>
      <c r="D90" s="78" t="s">
        <v>165</v>
      </c>
      <c r="N90" s="167">
        <f>ROUNDUP($N$125,2)</f>
        <v>0</v>
      </c>
      <c r="O90" s="182"/>
      <c r="P90" s="182"/>
      <c r="Q90" s="182"/>
      <c r="R90" s="98"/>
    </row>
    <row r="91" spans="2:18" s="90" customFormat="1" ht="15.75" customHeight="1">
      <c r="B91" s="97"/>
      <c r="D91" s="78" t="s">
        <v>166</v>
      </c>
      <c r="N91" s="167">
        <f>ROUNDUP($N$127,2)</f>
        <v>0</v>
      </c>
      <c r="O91" s="182"/>
      <c r="P91" s="182"/>
      <c r="Q91" s="182"/>
      <c r="R91" s="98"/>
    </row>
    <row r="92" spans="2:18" s="65" customFormat="1" ht="25.5" customHeight="1">
      <c r="B92" s="94"/>
      <c r="D92" s="95" t="s">
        <v>120</v>
      </c>
      <c r="N92" s="181">
        <f>ROUNDUP($N$132,2)</f>
        <v>0</v>
      </c>
      <c r="O92" s="182"/>
      <c r="P92" s="182"/>
      <c r="Q92" s="182"/>
      <c r="R92" s="96"/>
    </row>
    <row r="93" spans="2:18" s="90" customFormat="1" ht="21" customHeight="1">
      <c r="B93" s="97"/>
      <c r="D93" s="78" t="s">
        <v>121</v>
      </c>
      <c r="N93" s="167">
        <f>ROUNDUP($N$133,2)</f>
        <v>0</v>
      </c>
      <c r="O93" s="182"/>
      <c r="P93" s="182"/>
      <c r="Q93" s="182"/>
      <c r="R93" s="98"/>
    </row>
    <row r="94" spans="2:18" s="90" customFormat="1" ht="21" customHeight="1">
      <c r="B94" s="97"/>
      <c r="D94" s="78" t="s">
        <v>167</v>
      </c>
      <c r="N94" s="167">
        <f>ROUNDUP($N$138,2)</f>
        <v>0</v>
      </c>
      <c r="O94" s="182"/>
      <c r="P94" s="182"/>
      <c r="Q94" s="182"/>
      <c r="R94" s="98"/>
    </row>
    <row r="95" spans="2:18" s="90" customFormat="1" ht="21" customHeight="1">
      <c r="B95" s="97"/>
      <c r="D95" s="78" t="s">
        <v>168</v>
      </c>
      <c r="N95" s="167">
        <f>ROUNDUP($N$144,2)</f>
        <v>0</v>
      </c>
      <c r="O95" s="182"/>
      <c r="P95" s="182"/>
      <c r="Q95" s="182"/>
      <c r="R95" s="98"/>
    </row>
    <row r="96" spans="2:18" s="65" customFormat="1" ht="22.5" customHeight="1">
      <c r="B96" s="94"/>
      <c r="D96" s="95" t="s">
        <v>122</v>
      </c>
      <c r="N96" s="183">
        <f>$N$153</f>
        <v>0</v>
      </c>
      <c r="O96" s="182"/>
      <c r="P96" s="182"/>
      <c r="Q96" s="182"/>
      <c r="R96" s="96"/>
    </row>
    <row r="97" spans="2:18" s="6" customFormat="1" ht="22.5" customHeight="1">
      <c r="B97" s="21"/>
      <c r="R97" s="22"/>
    </row>
    <row r="98" spans="2:21" s="6" customFormat="1" ht="30" customHeight="1">
      <c r="B98" s="21"/>
      <c r="C98" s="60" t="s">
        <v>123</v>
      </c>
      <c r="N98" s="169">
        <f>ROUNDUP($N$99+$N$100+$N$101+$N$102+$N$103+$N$104,2)</f>
        <v>0</v>
      </c>
      <c r="O98" s="143"/>
      <c r="P98" s="143"/>
      <c r="Q98" s="143"/>
      <c r="R98" s="22"/>
      <c r="T98" s="99"/>
      <c r="U98" s="100" t="s">
        <v>38</v>
      </c>
    </row>
    <row r="99" spans="2:62" s="6" customFormat="1" ht="18.75" customHeight="1">
      <c r="B99" s="21"/>
      <c r="D99" s="168" t="s">
        <v>124</v>
      </c>
      <c r="E99" s="143"/>
      <c r="F99" s="143"/>
      <c r="G99" s="143"/>
      <c r="H99" s="143"/>
      <c r="N99" s="166">
        <f>ROUNDUP($N$88*$T$99,2)</f>
        <v>0</v>
      </c>
      <c r="O99" s="143"/>
      <c r="P99" s="143"/>
      <c r="Q99" s="143"/>
      <c r="R99" s="22"/>
      <c r="T99" s="101"/>
      <c r="U99" s="102" t="s">
        <v>39</v>
      </c>
      <c r="AY99" s="6" t="s">
        <v>125</v>
      </c>
      <c r="BE99" s="82">
        <f>IF($U$99="základní",$N$99,0)</f>
        <v>0</v>
      </c>
      <c r="BF99" s="82">
        <f>IF($U$99="snížená",$N$99,0)</f>
        <v>0</v>
      </c>
      <c r="BG99" s="82">
        <f>IF($U$99="zákl. přenesená",$N$99,0)</f>
        <v>0</v>
      </c>
      <c r="BH99" s="82">
        <f>IF($U$99="sníž. přenesená",$N$99,0)</f>
        <v>0</v>
      </c>
      <c r="BI99" s="82">
        <f>IF($U$99="nulová",$N$99,0)</f>
        <v>0</v>
      </c>
      <c r="BJ99" s="6" t="s">
        <v>17</v>
      </c>
    </row>
    <row r="100" spans="2:62" s="6" customFormat="1" ht="18.75" customHeight="1">
      <c r="B100" s="21"/>
      <c r="D100" s="168" t="s">
        <v>126</v>
      </c>
      <c r="E100" s="143"/>
      <c r="F100" s="143"/>
      <c r="G100" s="143"/>
      <c r="H100" s="143"/>
      <c r="N100" s="166">
        <f>ROUNDUP($N$88*$T$100,2)</f>
        <v>0</v>
      </c>
      <c r="O100" s="143"/>
      <c r="P100" s="143"/>
      <c r="Q100" s="143"/>
      <c r="R100" s="22"/>
      <c r="T100" s="101"/>
      <c r="U100" s="102" t="s">
        <v>39</v>
      </c>
      <c r="AY100" s="6" t="s">
        <v>125</v>
      </c>
      <c r="BE100" s="82">
        <f>IF($U$100="základní",$N$100,0)</f>
        <v>0</v>
      </c>
      <c r="BF100" s="82">
        <f>IF($U$100="snížená",$N$100,0)</f>
        <v>0</v>
      </c>
      <c r="BG100" s="82">
        <f>IF($U$100="zákl. přenesená",$N$100,0)</f>
        <v>0</v>
      </c>
      <c r="BH100" s="82">
        <f>IF($U$100="sníž. přenesená",$N$100,0)</f>
        <v>0</v>
      </c>
      <c r="BI100" s="82">
        <f>IF($U$100="nulová",$N$100,0)</f>
        <v>0</v>
      </c>
      <c r="BJ100" s="6" t="s">
        <v>17</v>
      </c>
    </row>
    <row r="101" spans="2:62" s="6" customFormat="1" ht="18.75" customHeight="1">
      <c r="B101" s="21"/>
      <c r="D101" s="168" t="s">
        <v>127</v>
      </c>
      <c r="E101" s="143"/>
      <c r="F101" s="143"/>
      <c r="G101" s="143"/>
      <c r="H101" s="143"/>
      <c r="N101" s="166">
        <f>ROUNDUP($N$88*$T$101,2)</f>
        <v>0</v>
      </c>
      <c r="O101" s="143"/>
      <c r="P101" s="143"/>
      <c r="Q101" s="143"/>
      <c r="R101" s="22"/>
      <c r="T101" s="101"/>
      <c r="U101" s="102" t="s">
        <v>39</v>
      </c>
      <c r="AY101" s="6" t="s">
        <v>125</v>
      </c>
      <c r="BE101" s="82">
        <f>IF($U$101="základní",$N$101,0)</f>
        <v>0</v>
      </c>
      <c r="BF101" s="82">
        <f>IF($U$101="snížená",$N$101,0)</f>
        <v>0</v>
      </c>
      <c r="BG101" s="82">
        <f>IF($U$101="zákl. přenesená",$N$101,0)</f>
        <v>0</v>
      </c>
      <c r="BH101" s="82">
        <f>IF($U$101="sníž. přenesená",$N$101,0)</f>
        <v>0</v>
      </c>
      <c r="BI101" s="82">
        <f>IF($U$101="nulová",$N$101,0)</f>
        <v>0</v>
      </c>
      <c r="BJ101" s="6" t="s">
        <v>17</v>
      </c>
    </row>
    <row r="102" spans="2:62" s="6" customFormat="1" ht="18.75" customHeight="1">
      <c r="B102" s="21"/>
      <c r="D102" s="168" t="s">
        <v>128</v>
      </c>
      <c r="E102" s="143"/>
      <c r="F102" s="143"/>
      <c r="G102" s="143"/>
      <c r="H102" s="143"/>
      <c r="N102" s="166">
        <f>ROUNDUP($N$88*$T$102,2)</f>
        <v>0</v>
      </c>
      <c r="O102" s="143"/>
      <c r="P102" s="143"/>
      <c r="Q102" s="143"/>
      <c r="R102" s="22"/>
      <c r="T102" s="101"/>
      <c r="U102" s="102" t="s">
        <v>39</v>
      </c>
      <c r="AY102" s="6" t="s">
        <v>125</v>
      </c>
      <c r="BE102" s="82">
        <f>IF($U$102="základní",$N$102,0)</f>
        <v>0</v>
      </c>
      <c r="BF102" s="82">
        <f>IF($U$102="snížená",$N$102,0)</f>
        <v>0</v>
      </c>
      <c r="BG102" s="82">
        <f>IF($U$102="zákl. přenesená",$N$102,0)</f>
        <v>0</v>
      </c>
      <c r="BH102" s="82">
        <f>IF($U$102="sníž. přenesená",$N$102,0)</f>
        <v>0</v>
      </c>
      <c r="BI102" s="82">
        <f>IF($U$102="nulová",$N$102,0)</f>
        <v>0</v>
      </c>
      <c r="BJ102" s="6" t="s">
        <v>17</v>
      </c>
    </row>
    <row r="103" spans="2:62" s="6" customFormat="1" ht="18.75" customHeight="1">
      <c r="B103" s="21"/>
      <c r="D103" s="168" t="s">
        <v>129</v>
      </c>
      <c r="E103" s="143"/>
      <c r="F103" s="143"/>
      <c r="G103" s="143"/>
      <c r="H103" s="143"/>
      <c r="N103" s="166">
        <f>ROUNDUP($N$88*$T$103,2)</f>
        <v>0</v>
      </c>
      <c r="O103" s="143"/>
      <c r="P103" s="143"/>
      <c r="Q103" s="143"/>
      <c r="R103" s="22"/>
      <c r="T103" s="101"/>
      <c r="U103" s="102" t="s">
        <v>39</v>
      </c>
      <c r="AY103" s="6" t="s">
        <v>125</v>
      </c>
      <c r="BE103" s="82">
        <f>IF($U$103="základní",$N$103,0)</f>
        <v>0</v>
      </c>
      <c r="BF103" s="82">
        <f>IF($U$103="snížená",$N$103,0)</f>
        <v>0</v>
      </c>
      <c r="BG103" s="82">
        <f>IF($U$103="zákl. přenesená",$N$103,0)</f>
        <v>0</v>
      </c>
      <c r="BH103" s="82">
        <f>IF($U$103="sníž. přenesená",$N$103,0)</f>
        <v>0</v>
      </c>
      <c r="BI103" s="82">
        <f>IF($U$103="nulová",$N$103,0)</f>
        <v>0</v>
      </c>
      <c r="BJ103" s="6" t="s">
        <v>17</v>
      </c>
    </row>
    <row r="104" spans="2:62" s="6" customFormat="1" ht="18.75" customHeight="1">
      <c r="B104" s="21"/>
      <c r="D104" s="78" t="s">
        <v>130</v>
      </c>
      <c r="N104" s="166">
        <f>ROUNDUP($N$88*$T$104,2)</f>
        <v>0</v>
      </c>
      <c r="O104" s="143"/>
      <c r="P104" s="143"/>
      <c r="Q104" s="143"/>
      <c r="R104" s="22"/>
      <c r="T104" s="103"/>
      <c r="U104" s="104" t="s">
        <v>39</v>
      </c>
      <c r="AY104" s="6" t="s">
        <v>131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6" t="s">
        <v>17</v>
      </c>
    </row>
    <row r="105" spans="2:18" s="6" customFormat="1" ht="14.25" customHeight="1">
      <c r="B105" s="21"/>
      <c r="R105" s="22"/>
    </row>
    <row r="106" spans="2:18" s="6" customFormat="1" ht="30" customHeight="1">
      <c r="B106" s="21"/>
      <c r="C106" s="89" t="s">
        <v>108</v>
      </c>
      <c r="D106" s="30"/>
      <c r="E106" s="30"/>
      <c r="F106" s="30"/>
      <c r="G106" s="30"/>
      <c r="H106" s="30"/>
      <c r="I106" s="30"/>
      <c r="J106" s="30"/>
      <c r="K106" s="30"/>
      <c r="L106" s="171">
        <f>ROUNDUP(SUM($N$88+$N$98),2)</f>
        <v>0</v>
      </c>
      <c r="M106" s="172"/>
      <c r="N106" s="172"/>
      <c r="O106" s="172"/>
      <c r="P106" s="172"/>
      <c r="Q106" s="172"/>
      <c r="R106" s="22"/>
    </row>
    <row r="107" spans="2:18" s="6" customFormat="1" ht="7.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5"/>
    </row>
    <row r="111" spans="2:18" s="6" customFormat="1" ht="7.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</row>
    <row r="112" spans="2:18" s="6" customFormat="1" ht="37.5" customHeight="1">
      <c r="B112" s="21"/>
      <c r="C112" s="141" t="s">
        <v>132</v>
      </c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22"/>
    </row>
    <row r="113" spans="2:18" s="6" customFormat="1" ht="7.5" customHeight="1">
      <c r="B113" s="21"/>
      <c r="R113" s="22"/>
    </row>
    <row r="114" spans="2:18" s="6" customFormat="1" ht="15" customHeight="1">
      <c r="B114" s="21"/>
      <c r="C114" s="15" t="s">
        <v>14</v>
      </c>
      <c r="F114" s="174" t="str">
        <f>$F$6</f>
        <v>130105 - MENDELU  - revitalizace objektu  Z</v>
      </c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R114" s="22"/>
    </row>
    <row r="115" spans="2:18" s="6" customFormat="1" ht="15" customHeight="1">
      <c r="B115" s="21"/>
      <c r="C115" s="14" t="s">
        <v>112</v>
      </c>
      <c r="F115" s="145" t="str">
        <f>$F$7</f>
        <v>3b.3 - SO 3b - Úprava kanceláří a chodeb ve 2.NP - ZTI</v>
      </c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R115" s="22"/>
    </row>
    <row r="116" spans="2:18" s="6" customFormat="1" ht="7.5" customHeight="1">
      <c r="B116" s="21"/>
      <c r="R116" s="22"/>
    </row>
    <row r="117" spans="2:18" s="6" customFormat="1" ht="18.75" customHeight="1">
      <c r="B117" s="21"/>
      <c r="C117" s="15" t="s">
        <v>18</v>
      </c>
      <c r="F117" s="16" t="str">
        <f>$F$9</f>
        <v>BRNO</v>
      </c>
      <c r="K117" s="15" t="s">
        <v>20</v>
      </c>
      <c r="M117" s="179" t="str">
        <f>IF($O$9="","",$O$9)</f>
        <v>30.05.2013</v>
      </c>
      <c r="N117" s="143"/>
      <c r="O117" s="143"/>
      <c r="P117" s="143"/>
      <c r="R117" s="22"/>
    </row>
    <row r="118" spans="2:18" s="6" customFormat="1" ht="7.5" customHeight="1">
      <c r="B118" s="21"/>
      <c r="R118" s="22"/>
    </row>
    <row r="119" spans="2:18" s="6" customFormat="1" ht="15.75" customHeight="1">
      <c r="B119" s="21"/>
      <c r="C119" s="15" t="s">
        <v>24</v>
      </c>
      <c r="F119" s="16" t="str">
        <f>$E$12</f>
        <v>MENDELOVA  UNIVERZITA  V  BRNĚ</v>
      </c>
      <c r="K119" s="15" t="s">
        <v>30</v>
      </c>
      <c r="M119" s="156" t="str">
        <f>$E$18</f>
        <v>ing.Helena Zámečníková Brno</v>
      </c>
      <c r="N119" s="143"/>
      <c r="O119" s="143"/>
      <c r="P119" s="143"/>
      <c r="Q119" s="143"/>
      <c r="R119" s="22"/>
    </row>
    <row r="120" spans="2:18" s="6" customFormat="1" ht="15" customHeight="1">
      <c r="B120" s="21"/>
      <c r="C120" s="15" t="s">
        <v>28</v>
      </c>
      <c r="F120" s="16" t="str">
        <f>IF($E$15="","",$E$15)</f>
        <v>Vyplň údaj</v>
      </c>
      <c r="K120" s="15" t="s">
        <v>33</v>
      </c>
      <c r="M120" s="156" t="str">
        <f>$E$21</f>
        <v>Kepertová</v>
      </c>
      <c r="N120" s="143"/>
      <c r="O120" s="143"/>
      <c r="P120" s="143"/>
      <c r="Q120" s="143"/>
      <c r="R120" s="22"/>
    </row>
    <row r="121" spans="2:18" s="6" customFormat="1" ht="11.25" customHeight="1">
      <c r="B121" s="21"/>
      <c r="R121" s="22"/>
    </row>
    <row r="122" spans="2:27" s="105" customFormat="1" ht="30" customHeight="1">
      <c r="B122" s="106"/>
      <c r="C122" s="107" t="s">
        <v>133</v>
      </c>
      <c r="D122" s="108" t="s">
        <v>134</v>
      </c>
      <c r="E122" s="108" t="s">
        <v>56</v>
      </c>
      <c r="F122" s="184" t="s">
        <v>135</v>
      </c>
      <c r="G122" s="185"/>
      <c r="H122" s="185"/>
      <c r="I122" s="185"/>
      <c r="J122" s="108" t="s">
        <v>136</v>
      </c>
      <c r="K122" s="108" t="s">
        <v>137</v>
      </c>
      <c r="L122" s="184" t="s">
        <v>138</v>
      </c>
      <c r="M122" s="185"/>
      <c r="N122" s="184" t="s">
        <v>139</v>
      </c>
      <c r="O122" s="185"/>
      <c r="P122" s="185"/>
      <c r="Q122" s="186"/>
      <c r="R122" s="109"/>
      <c r="T122" s="55" t="s">
        <v>140</v>
      </c>
      <c r="U122" s="56" t="s">
        <v>38</v>
      </c>
      <c r="V122" s="56" t="s">
        <v>141</v>
      </c>
      <c r="W122" s="56" t="s">
        <v>142</v>
      </c>
      <c r="X122" s="56" t="s">
        <v>143</v>
      </c>
      <c r="Y122" s="56" t="s">
        <v>144</v>
      </c>
      <c r="Z122" s="56" t="s">
        <v>145</v>
      </c>
      <c r="AA122" s="57" t="s">
        <v>146</v>
      </c>
    </row>
    <row r="123" spans="2:63" s="6" customFormat="1" ht="30" customHeight="1">
      <c r="B123" s="21"/>
      <c r="C123" s="60" t="s">
        <v>114</v>
      </c>
      <c r="N123" s="193">
        <f>$BK$123</f>
        <v>0</v>
      </c>
      <c r="O123" s="143"/>
      <c r="P123" s="143"/>
      <c r="Q123" s="143"/>
      <c r="R123" s="22"/>
      <c r="T123" s="59"/>
      <c r="U123" s="35"/>
      <c r="V123" s="35"/>
      <c r="W123" s="110">
        <f>$W$124+$W$132+$W$153</f>
        <v>6.760767</v>
      </c>
      <c r="X123" s="35"/>
      <c r="Y123" s="110">
        <f>$Y$124+$Y$132+$Y$153</f>
        <v>0.0029884</v>
      </c>
      <c r="Z123" s="35"/>
      <c r="AA123" s="111">
        <f>$AA$124+$AA$132+$AA$153</f>
        <v>0.06256999999999999</v>
      </c>
      <c r="AT123" s="6" t="s">
        <v>73</v>
      </c>
      <c r="AU123" s="6" t="s">
        <v>119</v>
      </c>
      <c r="BK123" s="112">
        <f>$BK$124+$BK$132+$BK$153</f>
        <v>0</v>
      </c>
    </row>
    <row r="124" spans="2:63" s="113" customFormat="1" ht="37.5" customHeight="1">
      <c r="B124" s="114"/>
      <c r="D124" s="115" t="s">
        <v>163</v>
      </c>
      <c r="N124" s="183">
        <f>$BK$124</f>
        <v>0</v>
      </c>
      <c r="O124" s="194"/>
      <c r="P124" s="194"/>
      <c r="Q124" s="194"/>
      <c r="R124" s="117"/>
      <c r="T124" s="118"/>
      <c r="W124" s="119">
        <f>$W$125</f>
        <v>1.073067</v>
      </c>
      <c r="Y124" s="119">
        <f>$Y$125</f>
        <v>0</v>
      </c>
      <c r="AA124" s="120">
        <f>$AA$125</f>
        <v>0.04139999999999999</v>
      </c>
      <c r="AR124" s="116" t="s">
        <v>17</v>
      </c>
      <c r="AT124" s="116" t="s">
        <v>73</v>
      </c>
      <c r="AU124" s="116" t="s">
        <v>74</v>
      </c>
      <c r="AY124" s="116" t="s">
        <v>147</v>
      </c>
      <c r="BK124" s="121">
        <f>$BK$125</f>
        <v>0</v>
      </c>
    </row>
    <row r="125" spans="2:63" s="113" customFormat="1" ht="21" customHeight="1">
      <c r="B125" s="114"/>
      <c r="D125" s="122" t="s">
        <v>165</v>
      </c>
      <c r="N125" s="195">
        <f>$BK$125</f>
        <v>0</v>
      </c>
      <c r="O125" s="194"/>
      <c r="P125" s="194"/>
      <c r="Q125" s="194"/>
      <c r="R125" s="117"/>
      <c r="T125" s="118"/>
      <c r="W125" s="119">
        <f>$W$126+$W$127</f>
        <v>1.073067</v>
      </c>
      <c r="Y125" s="119">
        <f>$Y$126+$Y$127</f>
        <v>0</v>
      </c>
      <c r="AA125" s="120">
        <f>$AA$126+$AA$127</f>
        <v>0.04139999999999999</v>
      </c>
      <c r="AR125" s="116" t="s">
        <v>17</v>
      </c>
      <c r="AT125" s="116" t="s">
        <v>73</v>
      </c>
      <c r="AU125" s="116" t="s">
        <v>17</v>
      </c>
      <c r="AY125" s="116" t="s">
        <v>147</v>
      </c>
      <c r="BK125" s="121">
        <f>$BK$126+$BK$127</f>
        <v>0</v>
      </c>
    </row>
    <row r="126" spans="2:64" s="6" customFormat="1" ht="27" customHeight="1">
      <c r="B126" s="21"/>
      <c r="C126" s="123" t="s">
        <v>17</v>
      </c>
      <c r="D126" s="123" t="s">
        <v>148</v>
      </c>
      <c r="E126" s="124" t="s">
        <v>320</v>
      </c>
      <c r="F126" s="187" t="s">
        <v>321</v>
      </c>
      <c r="G126" s="188"/>
      <c r="H126" s="188"/>
      <c r="I126" s="188"/>
      <c r="J126" s="125" t="s">
        <v>151</v>
      </c>
      <c r="K126" s="126">
        <v>2.3</v>
      </c>
      <c r="L126" s="189">
        <v>0</v>
      </c>
      <c r="M126" s="188"/>
      <c r="N126" s="190">
        <f>ROUND($L$126*$K$126,2)</f>
        <v>0</v>
      </c>
      <c r="O126" s="188"/>
      <c r="P126" s="188"/>
      <c r="Q126" s="188"/>
      <c r="R126" s="22"/>
      <c r="T126" s="127"/>
      <c r="U126" s="28" t="s">
        <v>39</v>
      </c>
      <c r="V126" s="128">
        <v>0.342</v>
      </c>
      <c r="W126" s="128">
        <f>$V$126*$K$126</f>
        <v>0.7866</v>
      </c>
      <c r="X126" s="128">
        <v>0</v>
      </c>
      <c r="Y126" s="128">
        <f>$X$126*$K$126</f>
        <v>0</v>
      </c>
      <c r="Z126" s="128">
        <v>0.018</v>
      </c>
      <c r="AA126" s="129">
        <f>$Z$126*$K$126</f>
        <v>0.04139999999999999</v>
      </c>
      <c r="AR126" s="6" t="s">
        <v>172</v>
      </c>
      <c r="AT126" s="6" t="s">
        <v>148</v>
      </c>
      <c r="AU126" s="6" t="s">
        <v>110</v>
      </c>
      <c r="AY126" s="6" t="s">
        <v>147</v>
      </c>
      <c r="BE126" s="82">
        <f>IF($U$126="základní",$N$126,0)</f>
        <v>0</v>
      </c>
      <c r="BF126" s="82">
        <f>IF($U$126="snížená",$N$126,0)</f>
        <v>0</v>
      </c>
      <c r="BG126" s="82">
        <f>IF($U$126="zákl. přenesená",$N$126,0)</f>
        <v>0</v>
      </c>
      <c r="BH126" s="82">
        <f>IF($U$126="sníž. přenesená",$N$126,0)</f>
        <v>0</v>
      </c>
      <c r="BI126" s="82">
        <f>IF($U$126="nulová",$N$126,0)</f>
        <v>0</v>
      </c>
      <c r="BJ126" s="6" t="s">
        <v>17</v>
      </c>
      <c r="BK126" s="82">
        <f>ROUND($L$126*$K$126,2)</f>
        <v>0</v>
      </c>
      <c r="BL126" s="6" t="s">
        <v>172</v>
      </c>
    </row>
    <row r="127" spans="2:63" s="113" customFormat="1" ht="23.25" customHeight="1">
      <c r="B127" s="114"/>
      <c r="D127" s="122" t="s">
        <v>166</v>
      </c>
      <c r="N127" s="195">
        <f>$BK$127</f>
        <v>0</v>
      </c>
      <c r="O127" s="194"/>
      <c r="P127" s="194"/>
      <c r="Q127" s="194"/>
      <c r="R127" s="117"/>
      <c r="T127" s="118"/>
      <c r="W127" s="119">
        <f>SUM($W$128:$W$131)</f>
        <v>0.28646699999999997</v>
      </c>
      <c r="Y127" s="119">
        <f>SUM($Y$128:$Y$131)</f>
        <v>0</v>
      </c>
      <c r="AA127" s="120">
        <f>SUM($AA$128:$AA$131)</f>
        <v>0</v>
      </c>
      <c r="AR127" s="116" t="s">
        <v>17</v>
      </c>
      <c r="AT127" s="116" t="s">
        <v>73</v>
      </c>
      <c r="AU127" s="116" t="s">
        <v>110</v>
      </c>
      <c r="AY127" s="116" t="s">
        <v>147</v>
      </c>
      <c r="BK127" s="121">
        <f>SUM($BK$128:$BK$131)</f>
        <v>0</v>
      </c>
    </row>
    <row r="128" spans="2:64" s="6" customFormat="1" ht="27" customHeight="1">
      <c r="B128" s="21"/>
      <c r="C128" s="123" t="s">
        <v>110</v>
      </c>
      <c r="D128" s="123" t="s">
        <v>148</v>
      </c>
      <c r="E128" s="124" t="s">
        <v>322</v>
      </c>
      <c r="F128" s="187" t="s">
        <v>323</v>
      </c>
      <c r="G128" s="188"/>
      <c r="H128" s="188"/>
      <c r="I128" s="188"/>
      <c r="J128" s="125" t="s">
        <v>179</v>
      </c>
      <c r="K128" s="126">
        <v>0.063</v>
      </c>
      <c r="L128" s="189">
        <v>0</v>
      </c>
      <c r="M128" s="188"/>
      <c r="N128" s="190">
        <f>ROUND($L$128*$K$128,2)</f>
        <v>0</v>
      </c>
      <c r="O128" s="188"/>
      <c r="P128" s="188"/>
      <c r="Q128" s="188"/>
      <c r="R128" s="22"/>
      <c r="T128" s="127"/>
      <c r="U128" s="28" t="s">
        <v>39</v>
      </c>
      <c r="V128" s="128">
        <v>4.25</v>
      </c>
      <c r="W128" s="128">
        <f>$V$128*$K$128</f>
        <v>0.26775</v>
      </c>
      <c r="X128" s="128">
        <v>0</v>
      </c>
      <c r="Y128" s="128">
        <f>$X$128*$K$128</f>
        <v>0</v>
      </c>
      <c r="Z128" s="128">
        <v>0</v>
      </c>
      <c r="AA128" s="129">
        <f>$Z$128*$K$128</f>
        <v>0</v>
      </c>
      <c r="AR128" s="6" t="s">
        <v>172</v>
      </c>
      <c r="AT128" s="6" t="s">
        <v>148</v>
      </c>
      <c r="AU128" s="6" t="s">
        <v>156</v>
      </c>
      <c r="AY128" s="6" t="s">
        <v>147</v>
      </c>
      <c r="BE128" s="82">
        <f>IF($U$128="základní",$N$128,0)</f>
        <v>0</v>
      </c>
      <c r="BF128" s="82">
        <f>IF($U$128="snížená",$N$128,0)</f>
        <v>0</v>
      </c>
      <c r="BG128" s="82">
        <f>IF($U$128="zákl. přenesená",$N$128,0)</f>
        <v>0</v>
      </c>
      <c r="BH128" s="82">
        <f>IF($U$128="sníž. přenesená",$N$128,0)</f>
        <v>0</v>
      </c>
      <c r="BI128" s="82">
        <f>IF($U$128="nulová",$N$128,0)</f>
        <v>0</v>
      </c>
      <c r="BJ128" s="6" t="s">
        <v>17</v>
      </c>
      <c r="BK128" s="82">
        <f>ROUND($L$128*$K$128,2)</f>
        <v>0</v>
      </c>
      <c r="BL128" s="6" t="s">
        <v>172</v>
      </c>
    </row>
    <row r="129" spans="2:64" s="6" customFormat="1" ht="27" customHeight="1">
      <c r="B129" s="21"/>
      <c r="C129" s="123" t="s">
        <v>156</v>
      </c>
      <c r="D129" s="123" t="s">
        <v>148</v>
      </c>
      <c r="E129" s="124" t="s">
        <v>324</v>
      </c>
      <c r="F129" s="187" t="s">
        <v>325</v>
      </c>
      <c r="G129" s="188"/>
      <c r="H129" s="188"/>
      <c r="I129" s="188"/>
      <c r="J129" s="125" t="s">
        <v>179</v>
      </c>
      <c r="K129" s="126">
        <v>0.442</v>
      </c>
      <c r="L129" s="189">
        <v>0</v>
      </c>
      <c r="M129" s="188"/>
      <c r="N129" s="190">
        <f>ROUND($L$129*$K$129,2)</f>
        <v>0</v>
      </c>
      <c r="O129" s="188"/>
      <c r="P129" s="188"/>
      <c r="Q129" s="188"/>
      <c r="R129" s="22"/>
      <c r="T129" s="127"/>
      <c r="U129" s="28" t="s">
        <v>39</v>
      </c>
      <c r="V129" s="128">
        <v>0.006</v>
      </c>
      <c r="W129" s="128">
        <f>$V$129*$K$129</f>
        <v>0.0026520000000000003</v>
      </c>
      <c r="X129" s="128">
        <v>0</v>
      </c>
      <c r="Y129" s="128">
        <f>$X$129*$K$129</f>
        <v>0</v>
      </c>
      <c r="Z129" s="128">
        <v>0</v>
      </c>
      <c r="AA129" s="129">
        <f>$Z$129*$K$129</f>
        <v>0</v>
      </c>
      <c r="AR129" s="6" t="s">
        <v>172</v>
      </c>
      <c r="AT129" s="6" t="s">
        <v>148</v>
      </c>
      <c r="AU129" s="6" t="s">
        <v>156</v>
      </c>
      <c r="AY129" s="6" t="s">
        <v>147</v>
      </c>
      <c r="BE129" s="82">
        <f>IF($U$129="základní",$N$129,0)</f>
        <v>0</v>
      </c>
      <c r="BF129" s="82">
        <f>IF($U$129="snížená",$N$129,0)</f>
        <v>0</v>
      </c>
      <c r="BG129" s="82">
        <f>IF($U$129="zákl. přenesená",$N$129,0)</f>
        <v>0</v>
      </c>
      <c r="BH129" s="82">
        <f>IF($U$129="sníž. přenesená",$N$129,0)</f>
        <v>0</v>
      </c>
      <c r="BI129" s="82">
        <f>IF($U$129="nulová",$N$129,0)</f>
        <v>0</v>
      </c>
      <c r="BJ129" s="6" t="s">
        <v>17</v>
      </c>
      <c r="BK129" s="82">
        <f>ROUND($L$129*$K$129,2)</f>
        <v>0</v>
      </c>
      <c r="BL129" s="6" t="s">
        <v>172</v>
      </c>
    </row>
    <row r="130" spans="2:64" s="6" customFormat="1" ht="27" customHeight="1">
      <c r="B130" s="21"/>
      <c r="C130" s="123" t="s">
        <v>172</v>
      </c>
      <c r="D130" s="123" t="s">
        <v>148</v>
      </c>
      <c r="E130" s="124" t="s">
        <v>326</v>
      </c>
      <c r="F130" s="187" t="s">
        <v>327</v>
      </c>
      <c r="G130" s="188"/>
      <c r="H130" s="188"/>
      <c r="I130" s="188"/>
      <c r="J130" s="125" t="s">
        <v>179</v>
      </c>
      <c r="K130" s="126">
        <v>0.063</v>
      </c>
      <c r="L130" s="189">
        <v>0</v>
      </c>
      <c r="M130" s="188"/>
      <c r="N130" s="190">
        <f>ROUND($L$130*$K$130,2)</f>
        <v>0</v>
      </c>
      <c r="O130" s="188"/>
      <c r="P130" s="188"/>
      <c r="Q130" s="188"/>
      <c r="R130" s="22"/>
      <c r="T130" s="127"/>
      <c r="U130" s="28" t="s">
        <v>39</v>
      </c>
      <c r="V130" s="128">
        <v>0.255</v>
      </c>
      <c r="W130" s="128">
        <f>$V$130*$K$130</f>
        <v>0.016065</v>
      </c>
      <c r="X130" s="128">
        <v>0</v>
      </c>
      <c r="Y130" s="128">
        <f>$X$130*$K$130</f>
        <v>0</v>
      </c>
      <c r="Z130" s="128">
        <v>0</v>
      </c>
      <c r="AA130" s="129">
        <f>$Z$130*$K$130</f>
        <v>0</v>
      </c>
      <c r="AR130" s="6" t="s">
        <v>172</v>
      </c>
      <c r="AT130" s="6" t="s">
        <v>148</v>
      </c>
      <c r="AU130" s="6" t="s">
        <v>156</v>
      </c>
      <c r="AY130" s="6" t="s">
        <v>147</v>
      </c>
      <c r="BE130" s="82">
        <f>IF($U$130="základní",$N$130,0)</f>
        <v>0</v>
      </c>
      <c r="BF130" s="82">
        <f>IF($U$130="snížená",$N$130,0)</f>
        <v>0</v>
      </c>
      <c r="BG130" s="82">
        <f>IF($U$130="zákl. přenesená",$N$130,0)</f>
        <v>0</v>
      </c>
      <c r="BH130" s="82">
        <f>IF($U$130="sníž. přenesená",$N$130,0)</f>
        <v>0</v>
      </c>
      <c r="BI130" s="82">
        <f>IF($U$130="nulová",$N$130,0)</f>
        <v>0</v>
      </c>
      <c r="BJ130" s="6" t="s">
        <v>17</v>
      </c>
      <c r="BK130" s="82">
        <f>ROUND($L$130*$K$130,2)</f>
        <v>0</v>
      </c>
      <c r="BL130" s="6" t="s">
        <v>172</v>
      </c>
    </row>
    <row r="131" spans="2:64" s="6" customFormat="1" ht="27" customHeight="1">
      <c r="B131" s="21"/>
      <c r="C131" s="123" t="s">
        <v>182</v>
      </c>
      <c r="D131" s="123" t="s">
        <v>148</v>
      </c>
      <c r="E131" s="124" t="s">
        <v>328</v>
      </c>
      <c r="F131" s="187" t="s">
        <v>329</v>
      </c>
      <c r="G131" s="188"/>
      <c r="H131" s="188"/>
      <c r="I131" s="188"/>
      <c r="J131" s="125" t="s">
        <v>179</v>
      </c>
      <c r="K131" s="126">
        <v>0.063</v>
      </c>
      <c r="L131" s="189">
        <v>0</v>
      </c>
      <c r="M131" s="188"/>
      <c r="N131" s="190">
        <f>ROUND($L$131*$K$131,2)</f>
        <v>0</v>
      </c>
      <c r="O131" s="188"/>
      <c r="P131" s="188"/>
      <c r="Q131" s="188"/>
      <c r="R131" s="22"/>
      <c r="T131" s="127"/>
      <c r="U131" s="28" t="s">
        <v>39</v>
      </c>
      <c r="V131" s="128">
        <v>0</v>
      </c>
      <c r="W131" s="128">
        <f>$V$131*$K$131</f>
        <v>0</v>
      </c>
      <c r="X131" s="128">
        <v>0</v>
      </c>
      <c r="Y131" s="128">
        <f>$X$131*$K$131</f>
        <v>0</v>
      </c>
      <c r="Z131" s="128">
        <v>0</v>
      </c>
      <c r="AA131" s="129">
        <f>$Z$131*$K$131</f>
        <v>0</v>
      </c>
      <c r="AR131" s="6" t="s">
        <v>172</v>
      </c>
      <c r="AT131" s="6" t="s">
        <v>148</v>
      </c>
      <c r="AU131" s="6" t="s">
        <v>156</v>
      </c>
      <c r="AY131" s="6" t="s">
        <v>147</v>
      </c>
      <c r="BE131" s="82">
        <f>IF($U$131="základní",$N$131,0)</f>
        <v>0</v>
      </c>
      <c r="BF131" s="82">
        <f>IF($U$131="snížená",$N$131,0)</f>
        <v>0</v>
      </c>
      <c r="BG131" s="82">
        <f>IF($U$131="zákl. přenesená",$N$131,0)</f>
        <v>0</v>
      </c>
      <c r="BH131" s="82">
        <f>IF($U$131="sníž. přenesená",$N$131,0)</f>
        <v>0</v>
      </c>
      <c r="BI131" s="82">
        <f>IF($U$131="nulová",$N$131,0)</f>
        <v>0</v>
      </c>
      <c r="BJ131" s="6" t="s">
        <v>17</v>
      </c>
      <c r="BK131" s="82">
        <f>ROUND($L$131*$K$131,2)</f>
        <v>0</v>
      </c>
      <c r="BL131" s="6" t="s">
        <v>172</v>
      </c>
    </row>
    <row r="132" spans="2:63" s="113" customFormat="1" ht="37.5" customHeight="1">
      <c r="B132" s="114"/>
      <c r="D132" s="115" t="s">
        <v>120</v>
      </c>
      <c r="N132" s="183">
        <f>$BK$132</f>
        <v>0</v>
      </c>
      <c r="O132" s="194"/>
      <c r="P132" s="194"/>
      <c r="Q132" s="194"/>
      <c r="R132" s="117"/>
      <c r="T132" s="118"/>
      <c r="W132" s="119">
        <f>$W$133+$W$138+$W$144</f>
        <v>5.6877</v>
      </c>
      <c r="Y132" s="119">
        <f>$Y$133+$Y$138+$Y$144</f>
        <v>0.0029884</v>
      </c>
      <c r="AA132" s="120">
        <f>$AA$133+$AA$138+$AA$144</f>
        <v>0.02117</v>
      </c>
      <c r="AR132" s="116" t="s">
        <v>110</v>
      </c>
      <c r="AT132" s="116" t="s">
        <v>73</v>
      </c>
      <c r="AU132" s="116" t="s">
        <v>74</v>
      </c>
      <c r="AY132" s="116" t="s">
        <v>147</v>
      </c>
      <c r="BK132" s="121">
        <f>$BK$133+$BK$138+$BK$144</f>
        <v>0</v>
      </c>
    </row>
    <row r="133" spans="2:63" s="113" customFormat="1" ht="21" customHeight="1">
      <c r="B133" s="114"/>
      <c r="D133" s="122" t="s">
        <v>121</v>
      </c>
      <c r="N133" s="195">
        <f>$BK$133</f>
        <v>0</v>
      </c>
      <c r="O133" s="194"/>
      <c r="P133" s="194"/>
      <c r="Q133" s="194"/>
      <c r="R133" s="117"/>
      <c r="T133" s="118"/>
      <c r="W133" s="119">
        <f>SUM($W$134:$W$137)</f>
        <v>2.9907</v>
      </c>
      <c r="Y133" s="119">
        <f>SUM($Y$134:$Y$137)</f>
        <v>0.001247</v>
      </c>
      <c r="AA133" s="120">
        <f>SUM($AA$134:$AA$137)</f>
        <v>0</v>
      </c>
      <c r="AR133" s="116" t="s">
        <v>110</v>
      </c>
      <c r="AT133" s="116" t="s">
        <v>73</v>
      </c>
      <c r="AU133" s="116" t="s">
        <v>17</v>
      </c>
      <c r="AY133" s="116" t="s">
        <v>147</v>
      </c>
      <c r="BK133" s="121">
        <f>SUM($BK$134:$BK$137)</f>
        <v>0</v>
      </c>
    </row>
    <row r="134" spans="2:64" s="6" customFormat="1" ht="27" customHeight="1">
      <c r="B134" s="21"/>
      <c r="C134" s="123" t="s">
        <v>185</v>
      </c>
      <c r="D134" s="123" t="s">
        <v>148</v>
      </c>
      <c r="E134" s="124" t="s">
        <v>189</v>
      </c>
      <c r="F134" s="187" t="s">
        <v>190</v>
      </c>
      <c r="G134" s="188"/>
      <c r="H134" s="188"/>
      <c r="I134" s="188"/>
      <c r="J134" s="125" t="s">
        <v>151</v>
      </c>
      <c r="K134" s="126">
        <v>4.3</v>
      </c>
      <c r="L134" s="189">
        <v>0</v>
      </c>
      <c r="M134" s="188"/>
      <c r="N134" s="190">
        <f>ROUND($L$134*$K$134,2)</f>
        <v>0</v>
      </c>
      <c r="O134" s="188"/>
      <c r="P134" s="188"/>
      <c r="Q134" s="188"/>
      <c r="R134" s="22"/>
      <c r="T134" s="127"/>
      <c r="U134" s="28" t="s">
        <v>39</v>
      </c>
      <c r="V134" s="128">
        <v>0.659</v>
      </c>
      <c r="W134" s="128">
        <f>$V$134*$K$134</f>
        <v>2.8337</v>
      </c>
      <c r="X134" s="128">
        <v>0.00029</v>
      </c>
      <c r="Y134" s="128">
        <f>$X$134*$K$134</f>
        <v>0.001247</v>
      </c>
      <c r="Z134" s="128">
        <v>0</v>
      </c>
      <c r="AA134" s="129">
        <f>$Z$134*$K$134</f>
        <v>0</v>
      </c>
      <c r="AR134" s="6" t="s">
        <v>152</v>
      </c>
      <c r="AT134" s="6" t="s">
        <v>148</v>
      </c>
      <c r="AU134" s="6" t="s">
        <v>110</v>
      </c>
      <c r="AY134" s="6" t="s">
        <v>147</v>
      </c>
      <c r="BE134" s="82">
        <f>IF($U$134="základní",$N$134,0)</f>
        <v>0</v>
      </c>
      <c r="BF134" s="82">
        <f>IF($U$134="snížená",$N$134,0)</f>
        <v>0</v>
      </c>
      <c r="BG134" s="82">
        <f>IF($U$134="zákl. přenesená",$N$134,0)</f>
        <v>0</v>
      </c>
      <c r="BH134" s="82">
        <f>IF($U$134="sníž. přenesená",$N$134,0)</f>
        <v>0</v>
      </c>
      <c r="BI134" s="82">
        <f>IF($U$134="nulová",$N$134,0)</f>
        <v>0</v>
      </c>
      <c r="BJ134" s="6" t="s">
        <v>17</v>
      </c>
      <c r="BK134" s="82">
        <f>ROUND($L$134*$K$134,2)</f>
        <v>0</v>
      </c>
      <c r="BL134" s="6" t="s">
        <v>152</v>
      </c>
    </row>
    <row r="135" spans="2:64" s="6" customFormat="1" ht="15.75" customHeight="1">
      <c r="B135" s="21"/>
      <c r="C135" s="123" t="s">
        <v>188</v>
      </c>
      <c r="D135" s="123" t="s">
        <v>148</v>
      </c>
      <c r="E135" s="124" t="s">
        <v>200</v>
      </c>
      <c r="F135" s="187" t="s">
        <v>201</v>
      </c>
      <c r="G135" s="188"/>
      <c r="H135" s="188"/>
      <c r="I135" s="188"/>
      <c r="J135" s="125" t="s">
        <v>155</v>
      </c>
      <c r="K135" s="126">
        <v>1</v>
      </c>
      <c r="L135" s="189">
        <v>0</v>
      </c>
      <c r="M135" s="188"/>
      <c r="N135" s="190">
        <f>ROUND($L$135*$K$135,2)</f>
        <v>0</v>
      </c>
      <c r="O135" s="188"/>
      <c r="P135" s="188"/>
      <c r="Q135" s="188"/>
      <c r="R135" s="22"/>
      <c r="T135" s="127"/>
      <c r="U135" s="28" t="s">
        <v>39</v>
      </c>
      <c r="V135" s="128">
        <v>0.157</v>
      </c>
      <c r="W135" s="128">
        <f>$V$135*$K$135</f>
        <v>0.157</v>
      </c>
      <c r="X135" s="128">
        <v>0</v>
      </c>
      <c r="Y135" s="128">
        <f>$X$135*$K$135</f>
        <v>0</v>
      </c>
      <c r="Z135" s="128">
        <v>0</v>
      </c>
      <c r="AA135" s="129">
        <f>$Z$135*$K$135</f>
        <v>0</v>
      </c>
      <c r="AR135" s="6" t="s">
        <v>152</v>
      </c>
      <c r="AT135" s="6" t="s">
        <v>148</v>
      </c>
      <c r="AU135" s="6" t="s">
        <v>110</v>
      </c>
      <c r="AY135" s="6" t="s">
        <v>147</v>
      </c>
      <c r="BE135" s="82">
        <f>IF($U$135="základní",$N$135,0)</f>
        <v>0</v>
      </c>
      <c r="BF135" s="82">
        <f>IF($U$135="snížená",$N$135,0)</f>
        <v>0</v>
      </c>
      <c r="BG135" s="82">
        <f>IF($U$135="zákl. přenesená",$N$135,0)</f>
        <v>0</v>
      </c>
      <c r="BH135" s="82">
        <f>IF($U$135="sníž. přenesená",$N$135,0)</f>
        <v>0</v>
      </c>
      <c r="BI135" s="82">
        <f>IF($U$135="nulová",$N$135,0)</f>
        <v>0</v>
      </c>
      <c r="BJ135" s="6" t="s">
        <v>17</v>
      </c>
      <c r="BK135" s="82">
        <f>ROUND($L$135*$K$135,2)</f>
        <v>0</v>
      </c>
      <c r="BL135" s="6" t="s">
        <v>152</v>
      </c>
    </row>
    <row r="136" spans="2:64" s="6" customFormat="1" ht="27" customHeight="1">
      <c r="B136" s="21"/>
      <c r="C136" s="123" t="s">
        <v>176</v>
      </c>
      <c r="D136" s="123" t="s">
        <v>148</v>
      </c>
      <c r="E136" s="124" t="s">
        <v>210</v>
      </c>
      <c r="F136" s="187" t="s">
        <v>211</v>
      </c>
      <c r="G136" s="188"/>
      <c r="H136" s="188"/>
      <c r="I136" s="188"/>
      <c r="J136" s="125" t="s">
        <v>155</v>
      </c>
      <c r="K136" s="126">
        <v>1</v>
      </c>
      <c r="L136" s="189">
        <v>0</v>
      </c>
      <c r="M136" s="188"/>
      <c r="N136" s="190">
        <f>ROUND($L$136*$K$136,2)</f>
        <v>0</v>
      </c>
      <c r="O136" s="188"/>
      <c r="P136" s="188"/>
      <c r="Q136" s="188"/>
      <c r="R136" s="22"/>
      <c r="T136" s="127"/>
      <c r="U136" s="28" t="s">
        <v>39</v>
      </c>
      <c r="V136" s="128">
        <v>0</v>
      </c>
      <c r="W136" s="128">
        <f>$V$136*$K$136</f>
        <v>0</v>
      </c>
      <c r="X136" s="128">
        <v>0</v>
      </c>
      <c r="Y136" s="128">
        <f>$X$136*$K$136</f>
        <v>0</v>
      </c>
      <c r="Z136" s="128">
        <v>0</v>
      </c>
      <c r="AA136" s="129">
        <f>$Z$136*$K$136</f>
        <v>0</v>
      </c>
      <c r="AR136" s="6" t="s">
        <v>152</v>
      </c>
      <c r="AT136" s="6" t="s">
        <v>148</v>
      </c>
      <c r="AU136" s="6" t="s">
        <v>110</v>
      </c>
      <c r="AY136" s="6" t="s">
        <v>147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17</v>
      </c>
      <c r="BK136" s="82">
        <f>ROUND($L$136*$K$136,2)</f>
        <v>0</v>
      </c>
      <c r="BL136" s="6" t="s">
        <v>152</v>
      </c>
    </row>
    <row r="137" spans="2:64" s="6" customFormat="1" ht="27" customHeight="1">
      <c r="B137" s="21"/>
      <c r="C137" s="123" t="s">
        <v>193</v>
      </c>
      <c r="D137" s="123" t="s">
        <v>148</v>
      </c>
      <c r="E137" s="124" t="s">
        <v>330</v>
      </c>
      <c r="F137" s="187" t="s">
        <v>331</v>
      </c>
      <c r="G137" s="188"/>
      <c r="H137" s="188"/>
      <c r="I137" s="188"/>
      <c r="J137" s="125" t="s">
        <v>159</v>
      </c>
      <c r="K137" s="130">
        <v>0</v>
      </c>
      <c r="L137" s="189">
        <v>0</v>
      </c>
      <c r="M137" s="188"/>
      <c r="N137" s="190">
        <f>ROUND($L$137*$K$137,2)</f>
        <v>0</v>
      </c>
      <c r="O137" s="188"/>
      <c r="P137" s="188"/>
      <c r="Q137" s="188"/>
      <c r="R137" s="22"/>
      <c r="T137" s="127"/>
      <c r="U137" s="28" t="s">
        <v>39</v>
      </c>
      <c r="V137" s="128">
        <v>0</v>
      </c>
      <c r="W137" s="128">
        <f>$V$137*$K$137</f>
        <v>0</v>
      </c>
      <c r="X137" s="128">
        <v>0</v>
      </c>
      <c r="Y137" s="128">
        <f>$X$137*$K$137</f>
        <v>0</v>
      </c>
      <c r="Z137" s="128">
        <v>0</v>
      </c>
      <c r="AA137" s="129">
        <f>$Z$137*$K$137</f>
        <v>0</v>
      </c>
      <c r="AR137" s="6" t="s">
        <v>152</v>
      </c>
      <c r="AT137" s="6" t="s">
        <v>148</v>
      </c>
      <c r="AU137" s="6" t="s">
        <v>110</v>
      </c>
      <c r="AY137" s="6" t="s">
        <v>147</v>
      </c>
      <c r="BE137" s="82">
        <f>IF($U$137="základní",$N$137,0)</f>
        <v>0</v>
      </c>
      <c r="BF137" s="82">
        <f>IF($U$137="snížená",$N$137,0)</f>
        <v>0</v>
      </c>
      <c r="BG137" s="82">
        <f>IF($U$137="zákl. přenesená",$N$137,0)</f>
        <v>0</v>
      </c>
      <c r="BH137" s="82">
        <f>IF($U$137="sníž. přenesená",$N$137,0)</f>
        <v>0</v>
      </c>
      <c r="BI137" s="82">
        <f>IF($U$137="nulová",$N$137,0)</f>
        <v>0</v>
      </c>
      <c r="BJ137" s="6" t="s">
        <v>17</v>
      </c>
      <c r="BK137" s="82">
        <f>ROUND($L$137*$K$137,2)</f>
        <v>0</v>
      </c>
      <c r="BL137" s="6" t="s">
        <v>152</v>
      </c>
    </row>
    <row r="138" spans="2:63" s="113" customFormat="1" ht="30.75" customHeight="1">
      <c r="B138" s="114"/>
      <c r="D138" s="122" t="s">
        <v>167</v>
      </c>
      <c r="N138" s="195">
        <f>$BK$138</f>
        <v>0</v>
      </c>
      <c r="O138" s="194"/>
      <c r="P138" s="194"/>
      <c r="Q138" s="194"/>
      <c r="R138" s="117"/>
      <c r="T138" s="118"/>
      <c r="W138" s="119">
        <f>SUM($W$139:$W$143)</f>
        <v>1.2200000000000002</v>
      </c>
      <c r="Y138" s="119">
        <f>SUM($Y$139:$Y$143)</f>
        <v>0.0002814</v>
      </c>
      <c r="AA138" s="120">
        <f>SUM($AA$139:$AA$143)</f>
        <v>0</v>
      </c>
      <c r="AR138" s="116" t="s">
        <v>110</v>
      </c>
      <c r="AT138" s="116" t="s">
        <v>73</v>
      </c>
      <c r="AU138" s="116" t="s">
        <v>17</v>
      </c>
      <c r="AY138" s="116" t="s">
        <v>147</v>
      </c>
      <c r="BK138" s="121">
        <f>SUM($BK$139:$BK$143)</f>
        <v>0</v>
      </c>
    </row>
    <row r="139" spans="2:64" s="6" customFormat="1" ht="15.75" customHeight="1">
      <c r="B139" s="21"/>
      <c r="C139" s="123" t="s">
        <v>22</v>
      </c>
      <c r="D139" s="123" t="s">
        <v>148</v>
      </c>
      <c r="E139" s="124" t="s">
        <v>332</v>
      </c>
      <c r="F139" s="187" t="s">
        <v>333</v>
      </c>
      <c r="G139" s="188"/>
      <c r="H139" s="188"/>
      <c r="I139" s="188"/>
      <c r="J139" s="125" t="s">
        <v>151</v>
      </c>
      <c r="K139" s="126">
        <v>1.2</v>
      </c>
      <c r="L139" s="189">
        <v>0</v>
      </c>
      <c r="M139" s="188"/>
      <c r="N139" s="190">
        <f>ROUND($L$139*$K$139,2)</f>
        <v>0</v>
      </c>
      <c r="O139" s="188"/>
      <c r="P139" s="188"/>
      <c r="Q139" s="188"/>
      <c r="R139" s="22"/>
      <c r="T139" s="127"/>
      <c r="U139" s="28" t="s">
        <v>39</v>
      </c>
      <c r="V139" s="128">
        <v>0.1</v>
      </c>
      <c r="W139" s="128">
        <f>$V$139*$K$139</f>
        <v>0.12</v>
      </c>
      <c r="X139" s="128">
        <v>3E-05</v>
      </c>
      <c r="Y139" s="128">
        <f>$X$139*$K$139</f>
        <v>3.6E-05</v>
      </c>
      <c r="Z139" s="128">
        <v>0</v>
      </c>
      <c r="AA139" s="129">
        <f>$Z$139*$K$139</f>
        <v>0</v>
      </c>
      <c r="AR139" s="6" t="s">
        <v>152</v>
      </c>
      <c r="AT139" s="6" t="s">
        <v>148</v>
      </c>
      <c r="AU139" s="6" t="s">
        <v>110</v>
      </c>
      <c r="AY139" s="6" t="s">
        <v>147</v>
      </c>
      <c r="BE139" s="82">
        <f>IF($U$139="základní",$N$139,0)</f>
        <v>0</v>
      </c>
      <c r="BF139" s="82">
        <f>IF($U$139="snížená",$N$139,0)</f>
        <v>0</v>
      </c>
      <c r="BG139" s="82">
        <f>IF($U$139="zákl. přenesená",$N$139,0)</f>
        <v>0</v>
      </c>
      <c r="BH139" s="82">
        <f>IF($U$139="sníž. přenesená",$N$139,0)</f>
        <v>0</v>
      </c>
      <c r="BI139" s="82">
        <f>IF($U$139="nulová",$N$139,0)</f>
        <v>0</v>
      </c>
      <c r="BJ139" s="6" t="s">
        <v>17</v>
      </c>
      <c r="BK139" s="82">
        <f>ROUND($L$139*$K$139,2)</f>
        <v>0</v>
      </c>
      <c r="BL139" s="6" t="s">
        <v>152</v>
      </c>
    </row>
    <row r="140" spans="2:64" s="6" customFormat="1" ht="27" customHeight="1">
      <c r="B140" s="21"/>
      <c r="C140" s="135" t="s">
        <v>198</v>
      </c>
      <c r="D140" s="135" t="s">
        <v>173</v>
      </c>
      <c r="E140" s="136" t="s">
        <v>334</v>
      </c>
      <c r="F140" s="196" t="s">
        <v>335</v>
      </c>
      <c r="G140" s="197"/>
      <c r="H140" s="197"/>
      <c r="I140" s="197"/>
      <c r="J140" s="137" t="s">
        <v>151</v>
      </c>
      <c r="K140" s="138">
        <v>1.236</v>
      </c>
      <c r="L140" s="198">
        <v>0</v>
      </c>
      <c r="M140" s="197"/>
      <c r="N140" s="199">
        <f>ROUND($L$140*$K$140,2)</f>
        <v>0</v>
      </c>
      <c r="O140" s="188"/>
      <c r="P140" s="188"/>
      <c r="Q140" s="188"/>
      <c r="R140" s="22"/>
      <c r="T140" s="127"/>
      <c r="U140" s="28" t="s">
        <v>39</v>
      </c>
      <c r="V140" s="128">
        <v>0</v>
      </c>
      <c r="W140" s="128">
        <f>$V$140*$K$140</f>
        <v>0</v>
      </c>
      <c r="X140" s="128">
        <v>0.00015</v>
      </c>
      <c r="Y140" s="128">
        <f>$X$140*$K$140</f>
        <v>0.00018539999999999998</v>
      </c>
      <c r="Z140" s="128">
        <v>0</v>
      </c>
      <c r="AA140" s="129">
        <f>$Z$140*$K$140</f>
        <v>0</v>
      </c>
      <c r="AR140" s="6" t="s">
        <v>243</v>
      </c>
      <c r="AT140" s="6" t="s">
        <v>173</v>
      </c>
      <c r="AU140" s="6" t="s">
        <v>110</v>
      </c>
      <c r="AY140" s="6" t="s">
        <v>147</v>
      </c>
      <c r="BE140" s="82">
        <f>IF($U$140="základní",$N$140,0)</f>
        <v>0</v>
      </c>
      <c r="BF140" s="82">
        <f>IF($U$140="snížená",$N$140,0)</f>
        <v>0</v>
      </c>
      <c r="BG140" s="82">
        <f>IF($U$140="zákl. přenesená",$N$140,0)</f>
        <v>0</v>
      </c>
      <c r="BH140" s="82">
        <f>IF($U$140="sníž. přenesená",$N$140,0)</f>
        <v>0</v>
      </c>
      <c r="BI140" s="82">
        <f>IF($U$140="nulová",$N$140,0)</f>
        <v>0</v>
      </c>
      <c r="BJ140" s="6" t="s">
        <v>17</v>
      </c>
      <c r="BK140" s="82">
        <f>ROUND($L$140*$K$140,2)</f>
        <v>0</v>
      </c>
      <c r="BL140" s="6" t="s">
        <v>152</v>
      </c>
    </row>
    <row r="141" spans="2:64" s="6" customFormat="1" ht="15.75" customHeight="1">
      <c r="B141" s="21"/>
      <c r="C141" s="123" t="s">
        <v>199</v>
      </c>
      <c r="D141" s="123" t="s">
        <v>148</v>
      </c>
      <c r="E141" s="124" t="s">
        <v>336</v>
      </c>
      <c r="F141" s="187" t="s">
        <v>337</v>
      </c>
      <c r="G141" s="188"/>
      <c r="H141" s="188"/>
      <c r="I141" s="188"/>
      <c r="J141" s="125" t="s">
        <v>155</v>
      </c>
      <c r="K141" s="126">
        <v>2</v>
      </c>
      <c r="L141" s="189">
        <v>0</v>
      </c>
      <c r="M141" s="188"/>
      <c r="N141" s="190">
        <f>ROUND($L$141*$K$141,2)</f>
        <v>0</v>
      </c>
      <c r="O141" s="188"/>
      <c r="P141" s="188"/>
      <c r="Q141" s="188"/>
      <c r="R141" s="22"/>
      <c r="T141" s="127"/>
      <c r="U141" s="28" t="s">
        <v>39</v>
      </c>
      <c r="V141" s="128">
        <v>0.22</v>
      </c>
      <c r="W141" s="128">
        <f>$V$141*$K$141</f>
        <v>0.44</v>
      </c>
      <c r="X141" s="128">
        <v>3E-05</v>
      </c>
      <c r="Y141" s="128">
        <f>$X$141*$K$141</f>
        <v>6E-05</v>
      </c>
      <c r="Z141" s="128">
        <v>0</v>
      </c>
      <c r="AA141" s="129">
        <f>$Z$141*$K$141</f>
        <v>0</v>
      </c>
      <c r="AR141" s="6" t="s">
        <v>152</v>
      </c>
      <c r="AT141" s="6" t="s">
        <v>148</v>
      </c>
      <c r="AU141" s="6" t="s">
        <v>110</v>
      </c>
      <c r="AY141" s="6" t="s">
        <v>147</v>
      </c>
      <c r="BE141" s="82">
        <f>IF($U$141="základní",$N$141,0)</f>
        <v>0</v>
      </c>
      <c r="BF141" s="82">
        <f>IF($U$141="snížená",$N$141,0)</f>
        <v>0</v>
      </c>
      <c r="BG141" s="82">
        <f>IF($U$141="zákl. přenesená",$N$141,0)</f>
        <v>0</v>
      </c>
      <c r="BH141" s="82">
        <f>IF($U$141="sníž. přenesená",$N$141,0)</f>
        <v>0</v>
      </c>
      <c r="BI141" s="82">
        <f>IF($U$141="nulová",$N$141,0)</f>
        <v>0</v>
      </c>
      <c r="BJ141" s="6" t="s">
        <v>17</v>
      </c>
      <c r="BK141" s="82">
        <f>ROUND($L$141*$K$141,2)</f>
        <v>0</v>
      </c>
      <c r="BL141" s="6" t="s">
        <v>152</v>
      </c>
    </row>
    <row r="142" spans="2:64" s="6" customFormat="1" ht="27" customHeight="1">
      <c r="B142" s="21"/>
      <c r="C142" s="123" t="s">
        <v>202</v>
      </c>
      <c r="D142" s="123" t="s">
        <v>148</v>
      </c>
      <c r="E142" s="124" t="s">
        <v>248</v>
      </c>
      <c r="F142" s="187" t="s">
        <v>249</v>
      </c>
      <c r="G142" s="188"/>
      <c r="H142" s="188"/>
      <c r="I142" s="188"/>
      <c r="J142" s="125" t="s">
        <v>155</v>
      </c>
      <c r="K142" s="126">
        <v>4</v>
      </c>
      <c r="L142" s="189">
        <v>0</v>
      </c>
      <c r="M142" s="188"/>
      <c r="N142" s="190">
        <f>ROUND($L$142*$K$142,2)</f>
        <v>0</v>
      </c>
      <c r="O142" s="188"/>
      <c r="P142" s="188"/>
      <c r="Q142" s="188"/>
      <c r="R142" s="22"/>
      <c r="T142" s="127"/>
      <c r="U142" s="28" t="s">
        <v>39</v>
      </c>
      <c r="V142" s="128">
        <v>0.165</v>
      </c>
      <c r="W142" s="128">
        <f>$V$142*$K$142</f>
        <v>0.66</v>
      </c>
      <c r="X142" s="128">
        <v>0</v>
      </c>
      <c r="Y142" s="128">
        <f>$X$142*$K$142</f>
        <v>0</v>
      </c>
      <c r="Z142" s="128">
        <v>0</v>
      </c>
      <c r="AA142" s="129">
        <f>$Z$142*$K$142</f>
        <v>0</v>
      </c>
      <c r="AR142" s="6" t="s">
        <v>152</v>
      </c>
      <c r="AT142" s="6" t="s">
        <v>148</v>
      </c>
      <c r="AU142" s="6" t="s">
        <v>110</v>
      </c>
      <c r="AY142" s="6" t="s">
        <v>147</v>
      </c>
      <c r="BE142" s="82">
        <f>IF($U$142="základní",$N$142,0)</f>
        <v>0</v>
      </c>
      <c r="BF142" s="82">
        <f>IF($U$142="snížená",$N$142,0)</f>
        <v>0</v>
      </c>
      <c r="BG142" s="82">
        <f>IF($U$142="zákl. přenesená",$N$142,0)</f>
        <v>0</v>
      </c>
      <c r="BH142" s="82">
        <f>IF($U$142="sníž. přenesená",$N$142,0)</f>
        <v>0</v>
      </c>
      <c r="BI142" s="82">
        <f>IF($U$142="nulová",$N$142,0)</f>
        <v>0</v>
      </c>
      <c r="BJ142" s="6" t="s">
        <v>17</v>
      </c>
      <c r="BK142" s="82">
        <f>ROUND($L$142*$K$142,2)</f>
        <v>0</v>
      </c>
      <c r="BL142" s="6" t="s">
        <v>152</v>
      </c>
    </row>
    <row r="143" spans="2:64" s="6" customFormat="1" ht="27" customHeight="1">
      <c r="B143" s="21"/>
      <c r="C143" s="123" t="s">
        <v>205</v>
      </c>
      <c r="D143" s="123" t="s">
        <v>148</v>
      </c>
      <c r="E143" s="124" t="s">
        <v>338</v>
      </c>
      <c r="F143" s="187" t="s">
        <v>339</v>
      </c>
      <c r="G143" s="188"/>
      <c r="H143" s="188"/>
      <c r="I143" s="188"/>
      <c r="J143" s="125" t="s">
        <v>159</v>
      </c>
      <c r="K143" s="130">
        <v>0</v>
      </c>
      <c r="L143" s="189">
        <v>0</v>
      </c>
      <c r="M143" s="188"/>
      <c r="N143" s="190">
        <f>ROUND($L$143*$K$143,2)</f>
        <v>0</v>
      </c>
      <c r="O143" s="188"/>
      <c r="P143" s="188"/>
      <c r="Q143" s="188"/>
      <c r="R143" s="22"/>
      <c r="T143" s="127"/>
      <c r="U143" s="28" t="s">
        <v>39</v>
      </c>
      <c r="V143" s="128">
        <v>0</v>
      </c>
      <c r="W143" s="128">
        <f>$V$143*$K$143</f>
        <v>0</v>
      </c>
      <c r="X143" s="128">
        <v>0</v>
      </c>
      <c r="Y143" s="128">
        <f>$X$143*$K$143</f>
        <v>0</v>
      </c>
      <c r="Z143" s="128">
        <v>0</v>
      </c>
      <c r="AA143" s="129">
        <f>$Z$143*$K$143</f>
        <v>0</v>
      </c>
      <c r="AR143" s="6" t="s">
        <v>152</v>
      </c>
      <c r="AT143" s="6" t="s">
        <v>148</v>
      </c>
      <c r="AU143" s="6" t="s">
        <v>110</v>
      </c>
      <c r="AY143" s="6" t="s">
        <v>147</v>
      </c>
      <c r="BE143" s="82">
        <f>IF($U$143="základní",$N$143,0)</f>
        <v>0</v>
      </c>
      <c r="BF143" s="82">
        <f>IF($U$143="snížená",$N$143,0)</f>
        <v>0</v>
      </c>
      <c r="BG143" s="82">
        <f>IF($U$143="zákl. přenesená",$N$143,0)</f>
        <v>0</v>
      </c>
      <c r="BH143" s="82">
        <f>IF($U$143="sníž. přenesená",$N$143,0)</f>
        <v>0</v>
      </c>
      <c r="BI143" s="82">
        <f>IF($U$143="nulová",$N$143,0)</f>
        <v>0</v>
      </c>
      <c r="BJ143" s="6" t="s">
        <v>17</v>
      </c>
      <c r="BK143" s="82">
        <f>ROUND($L$143*$K$143,2)</f>
        <v>0</v>
      </c>
      <c r="BL143" s="6" t="s">
        <v>152</v>
      </c>
    </row>
    <row r="144" spans="2:63" s="113" customFormat="1" ht="30.75" customHeight="1">
      <c r="B144" s="114"/>
      <c r="D144" s="122" t="s">
        <v>168</v>
      </c>
      <c r="N144" s="195">
        <f>$BK$144</f>
        <v>0</v>
      </c>
      <c r="O144" s="194"/>
      <c r="P144" s="194"/>
      <c r="Q144" s="194"/>
      <c r="R144" s="117"/>
      <c r="T144" s="118"/>
      <c r="W144" s="119">
        <f>SUM($W$145:$W$152)</f>
        <v>1.477</v>
      </c>
      <c r="Y144" s="119">
        <f>SUM($Y$145:$Y$152)</f>
        <v>0.00146</v>
      </c>
      <c r="AA144" s="120">
        <f>SUM($AA$145:$AA$152)</f>
        <v>0.02117</v>
      </c>
      <c r="AR144" s="116" t="s">
        <v>110</v>
      </c>
      <c r="AT144" s="116" t="s">
        <v>73</v>
      </c>
      <c r="AU144" s="116" t="s">
        <v>17</v>
      </c>
      <c r="AY144" s="116" t="s">
        <v>147</v>
      </c>
      <c r="BK144" s="121">
        <f>SUM($BK$145:$BK$152)</f>
        <v>0</v>
      </c>
    </row>
    <row r="145" spans="2:64" s="6" customFormat="1" ht="15.75" customHeight="1">
      <c r="B145" s="21"/>
      <c r="C145" s="123" t="s">
        <v>8</v>
      </c>
      <c r="D145" s="123" t="s">
        <v>148</v>
      </c>
      <c r="E145" s="124" t="s">
        <v>278</v>
      </c>
      <c r="F145" s="187" t="s">
        <v>279</v>
      </c>
      <c r="G145" s="188"/>
      <c r="H145" s="188"/>
      <c r="I145" s="188"/>
      <c r="J145" s="125" t="s">
        <v>261</v>
      </c>
      <c r="K145" s="126">
        <v>1</v>
      </c>
      <c r="L145" s="189">
        <v>0</v>
      </c>
      <c r="M145" s="188"/>
      <c r="N145" s="190">
        <f>ROUND($L$145*$K$145,2)</f>
        <v>0</v>
      </c>
      <c r="O145" s="188"/>
      <c r="P145" s="188"/>
      <c r="Q145" s="188"/>
      <c r="R145" s="22"/>
      <c r="T145" s="127"/>
      <c r="U145" s="28" t="s">
        <v>39</v>
      </c>
      <c r="V145" s="128">
        <v>0.362</v>
      </c>
      <c r="W145" s="128">
        <f>$V$145*$K$145</f>
        <v>0.362</v>
      </c>
      <c r="X145" s="128">
        <v>0</v>
      </c>
      <c r="Y145" s="128">
        <f>$X$145*$K$145</f>
        <v>0</v>
      </c>
      <c r="Z145" s="128">
        <v>0.01946</v>
      </c>
      <c r="AA145" s="129">
        <f>$Z$145*$K$145</f>
        <v>0.01946</v>
      </c>
      <c r="AR145" s="6" t="s">
        <v>152</v>
      </c>
      <c r="AT145" s="6" t="s">
        <v>148</v>
      </c>
      <c r="AU145" s="6" t="s">
        <v>110</v>
      </c>
      <c r="AY145" s="6" t="s">
        <v>147</v>
      </c>
      <c r="BE145" s="82">
        <f>IF($U$145="základní",$N$145,0)</f>
        <v>0</v>
      </c>
      <c r="BF145" s="82">
        <f>IF($U$145="snížená",$N$145,0)</f>
        <v>0</v>
      </c>
      <c r="BG145" s="82">
        <f>IF($U$145="zákl. přenesená",$N$145,0)</f>
        <v>0</v>
      </c>
      <c r="BH145" s="82">
        <f>IF($U$145="sníž. přenesená",$N$145,0)</f>
        <v>0</v>
      </c>
      <c r="BI145" s="82">
        <f>IF($U$145="nulová",$N$145,0)</f>
        <v>0</v>
      </c>
      <c r="BJ145" s="6" t="s">
        <v>17</v>
      </c>
      <c r="BK145" s="82">
        <f>ROUND($L$145*$K$145,2)</f>
        <v>0</v>
      </c>
      <c r="BL145" s="6" t="s">
        <v>152</v>
      </c>
    </row>
    <row r="146" spans="2:64" s="6" customFormat="1" ht="27" customHeight="1">
      <c r="B146" s="21"/>
      <c r="C146" s="123" t="s">
        <v>152</v>
      </c>
      <c r="D146" s="123" t="s">
        <v>148</v>
      </c>
      <c r="E146" s="124" t="s">
        <v>340</v>
      </c>
      <c r="F146" s="187" t="s">
        <v>341</v>
      </c>
      <c r="G146" s="188"/>
      <c r="H146" s="188"/>
      <c r="I146" s="188"/>
      <c r="J146" s="125" t="s">
        <v>155</v>
      </c>
      <c r="K146" s="126">
        <v>2</v>
      </c>
      <c r="L146" s="189">
        <v>0</v>
      </c>
      <c r="M146" s="188"/>
      <c r="N146" s="190">
        <f>ROUND($L$146*$K$146,2)</f>
        <v>0</v>
      </c>
      <c r="O146" s="188"/>
      <c r="P146" s="188"/>
      <c r="Q146" s="188"/>
      <c r="R146" s="22"/>
      <c r="T146" s="127"/>
      <c r="U146" s="28" t="s">
        <v>39</v>
      </c>
      <c r="V146" s="128">
        <v>0.081</v>
      </c>
      <c r="W146" s="128">
        <f>$V$146*$K$146</f>
        <v>0.162</v>
      </c>
      <c r="X146" s="128">
        <v>0</v>
      </c>
      <c r="Y146" s="128">
        <f>$X$146*$K$146</f>
        <v>0</v>
      </c>
      <c r="Z146" s="128">
        <v>0</v>
      </c>
      <c r="AA146" s="129">
        <f>$Z$146*$K$146</f>
        <v>0</v>
      </c>
      <c r="AR146" s="6" t="s">
        <v>152</v>
      </c>
      <c r="AT146" s="6" t="s">
        <v>148</v>
      </c>
      <c r="AU146" s="6" t="s">
        <v>110</v>
      </c>
      <c r="AY146" s="6" t="s">
        <v>147</v>
      </c>
      <c r="BE146" s="82">
        <f>IF($U$146="základní",$N$146,0)</f>
        <v>0</v>
      </c>
      <c r="BF146" s="82">
        <f>IF($U$146="snížená",$N$146,0)</f>
        <v>0</v>
      </c>
      <c r="BG146" s="82">
        <f>IF($U$146="zákl. přenesená",$N$146,0)</f>
        <v>0</v>
      </c>
      <c r="BH146" s="82">
        <f>IF($U$146="sníž. přenesená",$N$146,0)</f>
        <v>0</v>
      </c>
      <c r="BI146" s="82">
        <f>IF($U$146="nulová",$N$146,0)</f>
        <v>0</v>
      </c>
      <c r="BJ146" s="6" t="s">
        <v>17</v>
      </c>
      <c r="BK146" s="82">
        <f>ROUND($L$146*$K$146,2)</f>
        <v>0</v>
      </c>
      <c r="BL146" s="6" t="s">
        <v>152</v>
      </c>
    </row>
    <row r="147" spans="2:64" s="6" customFormat="1" ht="27" customHeight="1">
      <c r="B147" s="21"/>
      <c r="C147" s="123" t="s">
        <v>212</v>
      </c>
      <c r="D147" s="123" t="s">
        <v>148</v>
      </c>
      <c r="E147" s="124" t="s">
        <v>293</v>
      </c>
      <c r="F147" s="187" t="s">
        <v>294</v>
      </c>
      <c r="G147" s="188"/>
      <c r="H147" s="188"/>
      <c r="I147" s="188"/>
      <c r="J147" s="125" t="s">
        <v>261</v>
      </c>
      <c r="K147" s="126">
        <v>2</v>
      </c>
      <c r="L147" s="189">
        <v>0</v>
      </c>
      <c r="M147" s="188"/>
      <c r="N147" s="190">
        <f>ROUND($L$147*$K$147,2)</f>
        <v>0</v>
      </c>
      <c r="O147" s="188"/>
      <c r="P147" s="188"/>
      <c r="Q147" s="188"/>
      <c r="R147" s="22"/>
      <c r="T147" s="127"/>
      <c r="U147" s="28" t="s">
        <v>39</v>
      </c>
      <c r="V147" s="128">
        <v>0.29</v>
      </c>
      <c r="W147" s="128">
        <f>$V$147*$K$147</f>
        <v>0.58</v>
      </c>
      <c r="X147" s="128">
        <v>9E-05</v>
      </c>
      <c r="Y147" s="128">
        <f>$X$147*$K$147</f>
        <v>0.00018</v>
      </c>
      <c r="Z147" s="128">
        <v>0</v>
      </c>
      <c r="AA147" s="129">
        <f>$Z$147*$K$147</f>
        <v>0</v>
      </c>
      <c r="AR147" s="6" t="s">
        <v>152</v>
      </c>
      <c r="AT147" s="6" t="s">
        <v>148</v>
      </c>
      <c r="AU147" s="6" t="s">
        <v>110</v>
      </c>
      <c r="AY147" s="6" t="s">
        <v>147</v>
      </c>
      <c r="BE147" s="82">
        <f>IF($U$147="základní",$N$147,0)</f>
        <v>0</v>
      </c>
      <c r="BF147" s="82">
        <f>IF($U$147="snížená",$N$147,0)</f>
        <v>0</v>
      </c>
      <c r="BG147" s="82">
        <f>IF($U$147="zákl. přenesená",$N$147,0)</f>
        <v>0</v>
      </c>
      <c r="BH147" s="82">
        <f>IF($U$147="sníž. přenesená",$N$147,0)</f>
        <v>0</v>
      </c>
      <c r="BI147" s="82">
        <f>IF($U$147="nulová",$N$147,0)</f>
        <v>0</v>
      </c>
      <c r="BJ147" s="6" t="s">
        <v>17</v>
      </c>
      <c r="BK147" s="82">
        <f>ROUND($L$147*$K$147,2)</f>
        <v>0</v>
      </c>
      <c r="BL147" s="6" t="s">
        <v>152</v>
      </c>
    </row>
    <row r="148" spans="2:64" s="6" customFormat="1" ht="27" customHeight="1">
      <c r="B148" s="21"/>
      <c r="C148" s="135" t="s">
        <v>215</v>
      </c>
      <c r="D148" s="135" t="s">
        <v>173</v>
      </c>
      <c r="E148" s="136" t="s">
        <v>296</v>
      </c>
      <c r="F148" s="196" t="s">
        <v>297</v>
      </c>
      <c r="G148" s="197"/>
      <c r="H148" s="197"/>
      <c r="I148" s="197"/>
      <c r="J148" s="137" t="s">
        <v>155</v>
      </c>
      <c r="K148" s="138">
        <v>2</v>
      </c>
      <c r="L148" s="198">
        <v>0</v>
      </c>
      <c r="M148" s="197"/>
      <c r="N148" s="199">
        <f>ROUND($L$148*$K$148,2)</f>
        <v>0</v>
      </c>
      <c r="O148" s="188"/>
      <c r="P148" s="188"/>
      <c r="Q148" s="188"/>
      <c r="R148" s="22"/>
      <c r="T148" s="127"/>
      <c r="U148" s="28" t="s">
        <v>39</v>
      </c>
      <c r="V148" s="128">
        <v>0</v>
      </c>
      <c r="W148" s="128">
        <f>$V$148*$K$148</f>
        <v>0</v>
      </c>
      <c r="X148" s="128">
        <v>0.0005</v>
      </c>
      <c r="Y148" s="128">
        <f>$X$148*$K$148</f>
        <v>0.001</v>
      </c>
      <c r="Z148" s="128">
        <v>0</v>
      </c>
      <c r="AA148" s="129">
        <f>$Z$148*$K$148</f>
        <v>0</v>
      </c>
      <c r="AR148" s="6" t="s">
        <v>243</v>
      </c>
      <c r="AT148" s="6" t="s">
        <v>173</v>
      </c>
      <c r="AU148" s="6" t="s">
        <v>110</v>
      </c>
      <c r="AY148" s="6" t="s">
        <v>147</v>
      </c>
      <c r="BE148" s="82">
        <f>IF($U$148="základní",$N$148,0)</f>
        <v>0</v>
      </c>
      <c r="BF148" s="82">
        <f>IF($U$148="snížená",$N$148,0)</f>
        <v>0</v>
      </c>
      <c r="BG148" s="82">
        <f>IF($U$148="zákl. přenesená",$N$148,0)</f>
        <v>0</v>
      </c>
      <c r="BH148" s="82">
        <f>IF($U$148="sníž. přenesená",$N$148,0)</f>
        <v>0</v>
      </c>
      <c r="BI148" s="82">
        <f>IF($U$148="nulová",$N$148,0)</f>
        <v>0</v>
      </c>
      <c r="BJ148" s="6" t="s">
        <v>17</v>
      </c>
      <c r="BK148" s="82">
        <f>ROUND($L$148*$K$148,2)</f>
        <v>0</v>
      </c>
      <c r="BL148" s="6" t="s">
        <v>152</v>
      </c>
    </row>
    <row r="149" spans="2:64" s="6" customFormat="1" ht="27" customHeight="1">
      <c r="B149" s="21"/>
      <c r="C149" s="123" t="s">
        <v>219</v>
      </c>
      <c r="D149" s="123" t="s">
        <v>148</v>
      </c>
      <c r="E149" s="124" t="s">
        <v>342</v>
      </c>
      <c r="F149" s="187" t="s">
        <v>343</v>
      </c>
      <c r="G149" s="188"/>
      <c r="H149" s="188"/>
      <c r="I149" s="188"/>
      <c r="J149" s="125" t="s">
        <v>261</v>
      </c>
      <c r="K149" s="126">
        <v>1</v>
      </c>
      <c r="L149" s="189">
        <v>0</v>
      </c>
      <c r="M149" s="188"/>
      <c r="N149" s="190">
        <f>ROUND($L$149*$K$149,2)</f>
        <v>0</v>
      </c>
      <c r="O149" s="188"/>
      <c r="P149" s="188"/>
      <c r="Q149" s="188"/>
      <c r="R149" s="22"/>
      <c r="T149" s="127"/>
      <c r="U149" s="28" t="s">
        <v>39</v>
      </c>
      <c r="V149" s="128">
        <v>0.222</v>
      </c>
      <c r="W149" s="128">
        <f>$V$149*$K$149</f>
        <v>0.222</v>
      </c>
      <c r="X149" s="128">
        <v>0</v>
      </c>
      <c r="Y149" s="128">
        <f>$X$149*$K$149</f>
        <v>0</v>
      </c>
      <c r="Z149" s="128">
        <v>0.00086</v>
      </c>
      <c r="AA149" s="129">
        <f>$Z$149*$K$149</f>
        <v>0.00086</v>
      </c>
      <c r="AR149" s="6" t="s">
        <v>152</v>
      </c>
      <c r="AT149" s="6" t="s">
        <v>148</v>
      </c>
      <c r="AU149" s="6" t="s">
        <v>110</v>
      </c>
      <c r="AY149" s="6" t="s">
        <v>147</v>
      </c>
      <c r="BE149" s="82">
        <f>IF($U$149="základní",$N$149,0)</f>
        <v>0</v>
      </c>
      <c r="BF149" s="82">
        <f>IF($U$149="snížená",$N$149,0)</f>
        <v>0</v>
      </c>
      <c r="BG149" s="82">
        <f>IF($U$149="zákl. přenesená",$N$149,0)</f>
        <v>0</v>
      </c>
      <c r="BH149" s="82">
        <f>IF($U$149="sníž. přenesená",$N$149,0)</f>
        <v>0</v>
      </c>
      <c r="BI149" s="82">
        <f>IF($U$149="nulová",$N$149,0)</f>
        <v>0</v>
      </c>
      <c r="BJ149" s="6" t="s">
        <v>17</v>
      </c>
      <c r="BK149" s="82">
        <f>ROUND($L$149*$K$149,2)</f>
        <v>0</v>
      </c>
      <c r="BL149" s="6" t="s">
        <v>152</v>
      </c>
    </row>
    <row r="150" spans="2:64" s="6" customFormat="1" ht="15.75" customHeight="1">
      <c r="B150" s="21"/>
      <c r="C150" s="123" t="s">
        <v>222</v>
      </c>
      <c r="D150" s="123" t="s">
        <v>148</v>
      </c>
      <c r="E150" s="124" t="s">
        <v>308</v>
      </c>
      <c r="F150" s="187" t="s">
        <v>309</v>
      </c>
      <c r="G150" s="188"/>
      <c r="H150" s="188"/>
      <c r="I150" s="188"/>
      <c r="J150" s="125" t="s">
        <v>155</v>
      </c>
      <c r="K150" s="126">
        <v>1</v>
      </c>
      <c r="L150" s="189">
        <v>0</v>
      </c>
      <c r="M150" s="188"/>
      <c r="N150" s="190">
        <f>ROUND($L$150*$K$150,2)</f>
        <v>0</v>
      </c>
      <c r="O150" s="188"/>
      <c r="P150" s="188"/>
      <c r="Q150" s="188"/>
      <c r="R150" s="22"/>
      <c r="T150" s="127"/>
      <c r="U150" s="28" t="s">
        <v>39</v>
      </c>
      <c r="V150" s="128">
        <v>0.038</v>
      </c>
      <c r="W150" s="128">
        <f>$V$150*$K$150</f>
        <v>0.038</v>
      </c>
      <c r="X150" s="128">
        <v>0</v>
      </c>
      <c r="Y150" s="128">
        <f>$X$150*$K$150</f>
        <v>0</v>
      </c>
      <c r="Z150" s="128">
        <v>0.00085</v>
      </c>
      <c r="AA150" s="129">
        <f>$Z$150*$K$150</f>
        <v>0.00085</v>
      </c>
      <c r="AR150" s="6" t="s">
        <v>152</v>
      </c>
      <c r="AT150" s="6" t="s">
        <v>148</v>
      </c>
      <c r="AU150" s="6" t="s">
        <v>110</v>
      </c>
      <c r="AY150" s="6" t="s">
        <v>147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přenesená",$N$150,0)</f>
        <v>0</v>
      </c>
      <c r="BH150" s="82">
        <f>IF($U$150="sníž. přenesená",$N$150,0)</f>
        <v>0</v>
      </c>
      <c r="BI150" s="82">
        <f>IF($U$150="nulová",$N$150,0)</f>
        <v>0</v>
      </c>
      <c r="BJ150" s="6" t="s">
        <v>17</v>
      </c>
      <c r="BK150" s="82">
        <f>ROUND($L$150*$K$150,2)</f>
        <v>0</v>
      </c>
      <c r="BL150" s="6" t="s">
        <v>152</v>
      </c>
    </row>
    <row r="151" spans="2:64" s="6" customFormat="1" ht="15.75" customHeight="1">
      <c r="B151" s="21"/>
      <c r="C151" s="123" t="s">
        <v>7</v>
      </c>
      <c r="D151" s="123" t="s">
        <v>148</v>
      </c>
      <c r="E151" s="124" t="s">
        <v>344</v>
      </c>
      <c r="F151" s="187" t="s">
        <v>345</v>
      </c>
      <c r="G151" s="188"/>
      <c r="H151" s="188"/>
      <c r="I151" s="188"/>
      <c r="J151" s="125" t="s">
        <v>155</v>
      </c>
      <c r="K151" s="126">
        <v>1</v>
      </c>
      <c r="L151" s="189">
        <v>0</v>
      </c>
      <c r="M151" s="188"/>
      <c r="N151" s="190">
        <f>ROUND($L$151*$K$151,2)</f>
        <v>0</v>
      </c>
      <c r="O151" s="188"/>
      <c r="P151" s="188"/>
      <c r="Q151" s="188"/>
      <c r="R151" s="22"/>
      <c r="T151" s="127"/>
      <c r="U151" s="28" t="s">
        <v>39</v>
      </c>
      <c r="V151" s="128">
        <v>0.113</v>
      </c>
      <c r="W151" s="128">
        <f>$V$151*$K$151</f>
        <v>0.113</v>
      </c>
      <c r="X151" s="128">
        <v>0.00028</v>
      </c>
      <c r="Y151" s="128">
        <f>$X$151*$K$151</f>
        <v>0.00028</v>
      </c>
      <c r="Z151" s="128">
        <v>0</v>
      </c>
      <c r="AA151" s="129">
        <f>$Z$151*$K$151</f>
        <v>0</v>
      </c>
      <c r="AR151" s="6" t="s">
        <v>152</v>
      </c>
      <c r="AT151" s="6" t="s">
        <v>148</v>
      </c>
      <c r="AU151" s="6" t="s">
        <v>110</v>
      </c>
      <c r="AY151" s="6" t="s">
        <v>147</v>
      </c>
      <c r="BE151" s="82">
        <f>IF($U$151="základní",$N$151,0)</f>
        <v>0</v>
      </c>
      <c r="BF151" s="82">
        <f>IF($U$151="snížená",$N$151,0)</f>
        <v>0</v>
      </c>
      <c r="BG151" s="82">
        <f>IF($U$151="zákl. přenesená",$N$151,0)</f>
        <v>0</v>
      </c>
      <c r="BH151" s="82">
        <f>IF($U$151="sníž. přenesená",$N$151,0)</f>
        <v>0</v>
      </c>
      <c r="BI151" s="82">
        <f>IF($U$151="nulová",$N$151,0)</f>
        <v>0</v>
      </c>
      <c r="BJ151" s="6" t="s">
        <v>17</v>
      </c>
      <c r="BK151" s="82">
        <f>ROUND($L$151*$K$151,2)</f>
        <v>0</v>
      </c>
      <c r="BL151" s="6" t="s">
        <v>152</v>
      </c>
    </row>
    <row r="152" spans="2:64" s="6" customFormat="1" ht="27" customHeight="1">
      <c r="B152" s="21"/>
      <c r="C152" s="123" t="s">
        <v>227</v>
      </c>
      <c r="D152" s="123" t="s">
        <v>148</v>
      </c>
      <c r="E152" s="124" t="s">
        <v>346</v>
      </c>
      <c r="F152" s="187" t="s">
        <v>347</v>
      </c>
      <c r="G152" s="188"/>
      <c r="H152" s="188"/>
      <c r="I152" s="188"/>
      <c r="J152" s="125" t="s">
        <v>159</v>
      </c>
      <c r="K152" s="130">
        <v>0</v>
      </c>
      <c r="L152" s="189">
        <v>0</v>
      </c>
      <c r="M152" s="188"/>
      <c r="N152" s="190">
        <f>ROUND($L$152*$K$152,2)</f>
        <v>0</v>
      </c>
      <c r="O152" s="188"/>
      <c r="P152" s="188"/>
      <c r="Q152" s="188"/>
      <c r="R152" s="22"/>
      <c r="T152" s="127"/>
      <c r="U152" s="28" t="s">
        <v>39</v>
      </c>
      <c r="V152" s="128">
        <v>0</v>
      </c>
      <c r="W152" s="128">
        <f>$V$152*$K$152</f>
        <v>0</v>
      </c>
      <c r="X152" s="128">
        <v>0</v>
      </c>
      <c r="Y152" s="128">
        <f>$X$152*$K$152</f>
        <v>0</v>
      </c>
      <c r="Z152" s="128">
        <v>0</v>
      </c>
      <c r="AA152" s="129">
        <f>$Z$152*$K$152</f>
        <v>0</v>
      </c>
      <c r="AR152" s="6" t="s">
        <v>152</v>
      </c>
      <c r="AT152" s="6" t="s">
        <v>148</v>
      </c>
      <c r="AU152" s="6" t="s">
        <v>110</v>
      </c>
      <c r="AY152" s="6" t="s">
        <v>147</v>
      </c>
      <c r="BE152" s="82">
        <f>IF($U$152="základní",$N$152,0)</f>
        <v>0</v>
      </c>
      <c r="BF152" s="82">
        <f>IF($U$152="snížená",$N$152,0)</f>
        <v>0</v>
      </c>
      <c r="BG152" s="82">
        <f>IF($U$152="zákl. přenesená",$N$152,0)</f>
        <v>0</v>
      </c>
      <c r="BH152" s="82">
        <f>IF($U$152="sníž. přenesená",$N$152,0)</f>
        <v>0</v>
      </c>
      <c r="BI152" s="82">
        <f>IF($U$152="nulová",$N$152,0)</f>
        <v>0</v>
      </c>
      <c r="BJ152" s="6" t="s">
        <v>17</v>
      </c>
      <c r="BK152" s="82">
        <f>ROUND($L$152*$K$152,2)</f>
        <v>0</v>
      </c>
      <c r="BL152" s="6" t="s">
        <v>152</v>
      </c>
    </row>
    <row r="153" spans="2:63" s="6" customFormat="1" ht="51" customHeight="1">
      <c r="B153" s="21"/>
      <c r="D153" s="115" t="s">
        <v>160</v>
      </c>
      <c r="N153" s="183">
        <f>$BK$153</f>
        <v>0</v>
      </c>
      <c r="O153" s="143"/>
      <c r="P153" s="143"/>
      <c r="Q153" s="143"/>
      <c r="R153" s="22"/>
      <c r="T153" s="53"/>
      <c r="AA153" s="54"/>
      <c r="AT153" s="6" t="s">
        <v>73</v>
      </c>
      <c r="AU153" s="6" t="s">
        <v>74</v>
      </c>
      <c r="AY153" s="6" t="s">
        <v>161</v>
      </c>
      <c r="BK153" s="82">
        <f>SUM($BK$154:$BK$158)</f>
        <v>0</v>
      </c>
    </row>
    <row r="154" spans="2:63" s="6" customFormat="1" ht="23.25" customHeight="1">
      <c r="B154" s="21"/>
      <c r="C154" s="131"/>
      <c r="D154" s="131" t="s">
        <v>148</v>
      </c>
      <c r="E154" s="132"/>
      <c r="F154" s="191"/>
      <c r="G154" s="192"/>
      <c r="H154" s="192"/>
      <c r="I154" s="192"/>
      <c r="J154" s="133"/>
      <c r="K154" s="130"/>
      <c r="L154" s="189"/>
      <c r="M154" s="188"/>
      <c r="N154" s="190">
        <f>$BK$154</f>
        <v>0</v>
      </c>
      <c r="O154" s="188"/>
      <c r="P154" s="188"/>
      <c r="Q154" s="188"/>
      <c r="R154" s="22"/>
      <c r="T154" s="127"/>
      <c r="U154" s="134" t="s">
        <v>39</v>
      </c>
      <c r="AA154" s="54"/>
      <c r="AT154" s="6" t="s">
        <v>161</v>
      </c>
      <c r="AU154" s="6" t="s">
        <v>17</v>
      </c>
      <c r="AY154" s="6" t="s">
        <v>161</v>
      </c>
      <c r="BE154" s="82">
        <f>IF($U$154="základní",$N$154,0)</f>
        <v>0</v>
      </c>
      <c r="BF154" s="82">
        <f>IF($U$154="snížená",$N$154,0)</f>
        <v>0</v>
      </c>
      <c r="BG154" s="82">
        <f>IF($U$154="zákl. přenesená",$N$154,0)</f>
        <v>0</v>
      </c>
      <c r="BH154" s="82">
        <f>IF($U$154="sníž. přenesená",$N$154,0)</f>
        <v>0</v>
      </c>
      <c r="BI154" s="82">
        <f>IF($U$154="nulová",$N$154,0)</f>
        <v>0</v>
      </c>
      <c r="BJ154" s="6" t="s">
        <v>17</v>
      </c>
      <c r="BK154" s="82">
        <f>$L$154*$K$154</f>
        <v>0</v>
      </c>
    </row>
    <row r="155" spans="2:63" s="6" customFormat="1" ht="23.25" customHeight="1">
      <c r="B155" s="21"/>
      <c r="C155" s="131"/>
      <c r="D155" s="131" t="s">
        <v>148</v>
      </c>
      <c r="E155" s="132"/>
      <c r="F155" s="191"/>
      <c r="G155" s="192"/>
      <c r="H155" s="192"/>
      <c r="I155" s="192"/>
      <c r="J155" s="133"/>
      <c r="K155" s="130"/>
      <c r="L155" s="189"/>
      <c r="M155" s="188"/>
      <c r="N155" s="190">
        <f>$BK$155</f>
        <v>0</v>
      </c>
      <c r="O155" s="188"/>
      <c r="P155" s="188"/>
      <c r="Q155" s="188"/>
      <c r="R155" s="22"/>
      <c r="T155" s="127"/>
      <c r="U155" s="134" t="s">
        <v>39</v>
      </c>
      <c r="AA155" s="54"/>
      <c r="AT155" s="6" t="s">
        <v>161</v>
      </c>
      <c r="AU155" s="6" t="s">
        <v>17</v>
      </c>
      <c r="AY155" s="6" t="s">
        <v>161</v>
      </c>
      <c r="BE155" s="82">
        <f>IF($U$155="základní",$N$155,0)</f>
        <v>0</v>
      </c>
      <c r="BF155" s="82">
        <f>IF($U$155="snížená",$N$155,0)</f>
        <v>0</v>
      </c>
      <c r="BG155" s="82">
        <f>IF($U$155="zákl. přenesená",$N$155,0)</f>
        <v>0</v>
      </c>
      <c r="BH155" s="82">
        <f>IF($U$155="sníž. přenesená",$N$155,0)</f>
        <v>0</v>
      </c>
      <c r="BI155" s="82">
        <f>IF($U$155="nulová",$N$155,0)</f>
        <v>0</v>
      </c>
      <c r="BJ155" s="6" t="s">
        <v>17</v>
      </c>
      <c r="BK155" s="82">
        <f>$L$155*$K$155</f>
        <v>0</v>
      </c>
    </row>
    <row r="156" spans="2:63" s="6" customFormat="1" ht="23.25" customHeight="1">
      <c r="B156" s="21"/>
      <c r="C156" s="131"/>
      <c r="D156" s="131" t="s">
        <v>148</v>
      </c>
      <c r="E156" s="132"/>
      <c r="F156" s="191"/>
      <c r="G156" s="192"/>
      <c r="H156" s="192"/>
      <c r="I156" s="192"/>
      <c r="J156" s="133"/>
      <c r="K156" s="130"/>
      <c r="L156" s="189"/>
      <c r="M156" s="188"/>
      <c r="N156" s="190">
        <f>$BK$156</f>
        <v>0</v>
      </c>
      <c r="O156" s="188"/>
      <c r="P156" s="188"/>
      <c r="Q156" s="188"/>
      <c r="R156" s="22"/>
      <c r="T156" s="127"/>
      <c r="U156" s="134" t="s">
        <v>39</v>
      </c>
      <c r="AA156" s="54"/>
      <c r="AT156" s="6" t="s">
        <v>161</v>
      </c>
      <c r="AU156" s="6" t="s">
        <v>17</v>
      </c>
      <c r="AY156" s="6" t="s">
        <v>161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6" t="s">
        <v>17</v>
      </c>
      <c r="BK156" s="82">
        <f>$L$156*$K$156</f>
        <v>0</v>
      </c>
    </row>
    <row r="157" spans="2:63" s="6" customFormat="1" ht="23.25" customHeight="1">
      <c r="B157" s="21"/>
      <c r="C157" s="131"/>
      <c r="D157" s="131" t="s">
        <v>148</v>
      </c>
      <c r="E157" s="132"/>
      <c r="F157" s="191"/>
      <c r="G157" s="192"/>
      <c r="H157" s="192"/>
      <c r="I157" s="192"/>
      <c r="J157" s="133"/>
      <c r="K157" s="130"/>
      <c r="L157" s="189"/>
      <c r="M157" s="188"/>
      <c r="N157" s="190">
        <f>$BK$157</f>
        <v>0</v>
      </c>
      <c r="O157" s="188"/>
      <c r="P157" s="188"/>
      <c r="Q157" s="188"/>
      <c r="R157" s="22"/>
      <c r="T157" s="127"/>
      <c r="U157" s="134" t="s">
        <v>39</v>
      </c>
      <c r="AA157" s="54"/>
      <c r="AT157" s="6" t="s">
        <v>161</v>
      </c>
      <c r="AU157" s="6" t="s">
        <v>17</v>
      </c>
      <c r="AY157" s="6" t="s">
        <v>161</v>
      </c>
      <c r="BE157" s="82">
        <f>IF($U$157="základní",$N$157,0)</f>
        <v>0</v>
      </c>
      <c r="BF157" s="82">
        <f>IF($U$157="snížená",$N$157,0)</f>
        <v>0</v>
      </c>
      <c r="BG157" s="82">
        <f>IF($U$157="zákl. přenesená",$N$157,0)</f>
        <v>0</v>
      </c>
      <c r="BH157" s="82">
        <f>IF($U$157="sníž. přenesená",$N$157,0)</f>
        <v>0</v>
      </c>
      <c r="BI157" s="82">
        <f>IF($U$157="nulová",$N$157,0)</f>
        <v>0</v>
      </c>
      <c r="BJ157" s="6" t="s">
        <v>17</v>
      </c>
      <c r="BK157" s="82">
        <f>$L$157*$K$157</f>
        <v>0</v>
      </c>
    </row>
    <row r="158" spans="2:63" s="6" customFormat="1" ht="23.25" customHeight="1">
      <c r="B158" s="21"/>
      <c r="C158" s="131"/>
      <c r="D158" s="131" t="s">
        <v>148</v>
      </c>
      <c r="E158" s="132"/>
      <c r="F158" s="191"/>
      <c r="G158" s="192"/>
      <c r="H158" s="192"/>
      <c r="I158" s="192"/>
      <c r="J158" s="133"/>
      <c r="K158" s="130"/>
      <c r="L158" s="189"/>
      <c r="M158" s="188"/>
      <c r="N158" s="190">
        <f>$BK$158</f>
        <v>0</v>
      </c>
      <c r="O158" s="188"/>
      <c r="P158" s="188"/>
      <c r="Q158" s="188"/>
      <c r="R158" s="22"/>
      <c r="T158" s="127"/>
      <c r="U158" s="134" t="s">
        <v>39</v>
      </c>
      <c r="V158" s="40"/>
      <c r="W158" s="40"/>
      <c r="X158" s="40"/>
      <c r="Y158" s="40"/>
      <c r="Z158" s="40"/>
      <c r="AA158" s="42"/>
      <c r="AT158" s="6" t="s">
        <v>161</v>
      </c>
      <c r="AU158" s="6" t="s">
        <v>17</v>
      </c>
      <c r="AY158" s="6" t="s">
        <v>161</v>
      </c>
      <c r="BE158" s="82">
        <f>IF($U$158="základní",$N$158,0)</f>
        <v>0</v>
      </c>
      <c r="BF158" s="82">
        <f>IF($U$158="snížená",$N$158,0)</f>
        <v>0</v>
      </c>
      <c r="BG158" s="82">
        <f>IF($U$158="zákl. přenesená",$N$158,0)</f>
        <v>0</v>
      </c>
      <c r="BH158" s="82">
        <f>IF($U$158="sníž. přenesená",$N$158,0)</f>
        <v>0</v>
      </c>
      <c r="BI158" s="82">
        <f>IF($U$158="nulová",$N$158,0)</f>
        <v>0</v>
      </c>
      <c r="BJ158" s="6" t="s">
        <v>17</v>
      </c>
      <c r="BK158" s="82">
        <f>$L$158*$K$158</f>
        <v>0</v>
      </c>
    </row>
    <row r="159" spans="2:18" s="6" customFormat="1" ht="7.5" customHeight="1">
      <c r="B159" s="43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5"/>
    </row>
    <row r="193" s="2" customFormat="1" ht="14.25" customHeight="1"/>
  </sheetData>
  <sheetProtection/>
  <mergeCells count="159">
    <mergeCell ref="H1:K1"/>
    <mergeCell ref="S2:AC2"/>
    <mergeCell ref="N125:Q125"/>
    <mergeCell ref="N127:Q127"/>
    <mergeCell ref="N132:Q132"/>
    <mergeCell ref="N133:Q133"/>
    <mergeCell ref="N138:Q138"/>
    <mergeCell ref="N144:Q144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4:I154"/>
    <mergeCell ref="L154:M154"/>
    <mergeCell ref="N154:Q154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5:I145"/>
    <mergeCell ref="L145:M145"/>
    <mergeCell ref="N145:Q145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04:Q104"/>
    <mergeCell ref="L106:Q106"/>
    <mergeCell ref="C112:Q112"/>
    <mergeCell ref="F114:P114"/>
    <mergeCell ref="F115:P115"/>
    <mergeCell ref="M117:P117"/>
    <mergeCell ref="D101:H101"/>
    <mergeCell ref="N101:Q101"/>
    <mergeCell ref="D102:H102"/>
    <mergeCell ref="N102:Q102"/>
    <mergeCell ref="D103:H103"/>
    <mergeCell ref="N103:Q103"/>
    <mergeCell ref="N95:Q95"/>
    <mergeCell ref="N96:Q96"/>
    <mergeCell ref="N98:Q98"/>
    <mergeCell ref="D99:H99"/>
    <mergeCell ref="N99:Q99"/>
    <mergeCell ref="D100:H100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54:D159">
      <formula1>"K,M"</formula1>
    </dataValidation>
    <dataValidation type="list" allowBlank="1" showInputMessage="1" showErrorMessage="1" error="Povoleny jsou hodnoty základní, snížená, zákl. přenesená, sníž. přenesená, nulová." sqref="U154:U15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5"/>
      <c r="B1" s="202"/>
      <c r="C1" s="202"/>
      <c r="D1" s="203" t="s">
        <v>1</v>
      </c>
      <c r="E1" s="202"/>
      <c r="F1" s="204" t="s">
        <v>353</v>
      </c>
      <c r="G1" s="204"/>
      <c r="H1" s="206" t="s">
        <v>354</v>
      </c>
      <c r="I1" s="206"/>
      <c r="J1" s="206"/>
      <c r="K1" s="206"/>
      <c r="L1" s="204" t="s">
        <v>355</v>
      </c>
      <c r="M1" s="202"/>
      <c r="N1" s="202"/>
      <c r="O1" s="203" t="s">
        <v>109</v>
      </c>
      <c r="P1" s="202"/>
      <c r="Q1" s="202"/>
      <c r="R1" s="202"/>
      <c r="S1" s="204" t="s">
        <v>356</v>
      </c>
      <c r="T1" s="204"/>
      <c r="U1" s="205"/>
      <c r="V1" s="20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9" t="s">
        <v>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S2" s="173" t="s">
        <v>5</v>
      </c>
      <c r="T2" s="140"/>
      <c r="U2" s="140"/>
      <c r="V2" s="140"/>
      <c r="W2" s="140"/>
      <c r="X2" s="140"/>
      <c r="Y2" s="140"/>
      <c r="Z2" s="140"/>
      <c r="AA2" s="140"/>
      <c r="AB2" s="140"/>
      <c r="AC2" s="140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110</v>
      </c>
    </row>
    <row r="4" spans="2:46" s="2" customFormat="1" ht="37.5" customHeight="1">
      <c r="B4" s="10"/>
      <c r="C4" s="141" t="s">
        <v>111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74" t="str">
        <f>'Rekapitulace stavby'!$K$6</f>
        <v>130105 - MENDELU  - revitalizace objektu  Z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R6" s="11"/>
    </row>
    <row r="7" spans="2:18" s="6" customFormat="1" ht="18.75" customHeight="1">
      <c r="B7" s="21"/>
      <c r="D7" s="14" t="s">
        <v>112</v>
      </c>
      <c r="F7" s="145" t="s">
        <v>348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75" t="str">
        <f>'Rekapitulace stavby'!$AN$8</f>
        <v>30.05.2013</v>
      </c>
      <c r="P9" s="143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56"/>
      <c r="P11" s="143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56"/>
      <c r="P12" s="143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76" t="str">
        <f>IF('Rekapitulace stavby'!$AN$13="","",'Rekapitulace stavby'!$AN$13)</f>
        <v>Vyplň údaj</v>
      </c>
      <c r="P14" s="143"/>
      <c r="R14" s="22"/>
    </row>
    <row r="15" spans="2:18" s="6" customFormat="1" ht="18.75" customHeight="1">
      <c r="B15" s="21"/>
      <c r="E15" s="176" t="str">
        <f>IF('Rekapitulace stavby'!$E$14="","",'Rekapitulace stavby'!$E$14)</f>
        <v>Vyplň údaj</v>
      </c>
      <c r="F15" s="143"/>
      <c r="G15" s="143"/>
      <c r="H15" s="143"/>
      <c r="I15" s="143"/>
      <c r="J15" s="143"/>
      <c r="K15" s="143"/>
      <c r="L15" s="143"/>
      <c r="M15" s="15" t="s">
        <v>27</v>
      </c>
      <c r="O15" s="176" t="str">
        <f>IF('Rekapitulace stavby'!$AN$14="","",'Rekapitulace stavby'!$AN$14)</f>
        <v>Vyplň údaj</v>
      </c>
      <c r="P15" s="143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56"/>
      <c r="P17" s="143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56"/>
      <c r="P18" s="143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56"/>
      <c r="P20" s="143"/>
      <c r="R20" s="22"/>
    </row>
    <row r="21" spans="2:18" s="6" customFormat="1" ht="18.75" customHeight="1">
      <c r="B21" s="21"/>
      <c r="E21" s="16" t="s">
        <v>34</v>
      </c>
      <c r="M21" s="15" t="s">
        <v>27</v>
      </c>
      <c r="O21" s="156"/>
      <c r="P21" s="143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114</v>
      </c>
      <c r="M24" s="147">
        <f>$N$88</f>
        <v>0</v>
      </c>
      <c r="N24" s="143"/>
      <c r="O24" s="143"/>
      <c r="P24" s="143"/>
      <c r="R24" s="22"/>
    </row>
    <row r="25" spans="2:18" s="6" customFormat="1" ht="15" customHeight="1">
      <c r="B25" s="21"/>
      <c r="D25" s="20" t="s">
        <v>101</v>
      </c>
      <c r="M25" s="147">
        <f>$N$94</f>
        <v>0</v>
      </c>
      <c r="N25" s="143"/>
      <c r="O25" s="143"/>
      <c r="P25" s="143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37</v>
      </c>
      <c r="M27" s="177">
        <f>ROUNDUP($M$24+$M$25,2)</f>
        <v>0</v>
      </c>
      <c r="N27" s="143"/>
      <c r="O27" s="143"/>
      <c r="P27" s="143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38</v>
      </c>
      <c r="E29" s="26" t="s">
        <v>39</v>
      </c>
      <c r="F29" s="27">
        <v>0.21</v>
      </c>
      <c r="G29" s="92" t="s">
        <v>40</v>
      </c>
      <c r="H29" s="178">
        <f>ROUNDUP((((SUM($BE$94:$BE$101)+SUM($BE$119:$BE$129))+SUM($BE$131:$BE$135))),2)</f>
        <v>0</v>
      </c>
      <c r="I29" s="143"/>
      <c r="J29" s="143"/>
      <c r="M29" s="178">
        <f>ROUNDUP((((SUM($BE$94:$BE$101)+SUM($BE$119:$BE$129))*$F$29)+SUM($BE$131:$BE$135)*$F$29),1)</f>
        <v>0</v>
      </c>
      <c r="N29" s="143"/>
      <c r="O29" s="143"/>
      <c r="P29" s="143"/>
      <c r="R29" s="22"/>
    </row>
    <row r="30" spans="2:18" s="6" customFormat="1" ht="15" customHeight="1">
      <c r="B30" s="21"/>
      <c r="E30" s="26" t="s">
        <v>41</v>
      </c>
      <c r="F30" s="27">
        <v>0.15</v>
      </c>
      <c r="G30" s="92" t="s">
        <v>40</v>
      </c>
      <c r="H30" s="178">
        <f>ROUNDUP((((SUM($BF$94:$BF$101)+SUM($BF$119:$BF$129))+SUM($BF$131:$BF$135))),2)</f>
        <v>0</v>
      </c>
      <c r="I30" s="143"/>
      <c r="J30" s="143"/>
      <c r="M30" s="178">
        <f>ROUNDUP((((SUM($BF$94:$BF$101)+SUM($BF$119:$BF$129))*$F$30)+SUM($BF$131:$BF$135)*$F$30),1)</f>
        <v>0</v>
      </c>
      <c r="N30" s="143"/>
      <c r="O30" s="143"/>
      <c r="P30" s="143"/>
      <c r="R30" s="22"/>
    </row>
    <row r="31" spans="2:18" s="6" customFormat="1" ht="15" customHeight="1" hidden="1">
      <c r="B31" s="21"/>
      <c r="E31" s="26" t="s">
        <v>42</v>
      </c>
      <c r="F31" s="27">
        <v>0.21</v>
      </c>
      <c r="G31" s="92" t="s">
        <v>40</v>
      </c>
      <c r="H31" s="178">
        <f>ROUNDUP((((SUM($BG$94:$BG$101)+SUM($BG$119:$BG$129))+SUM($BG$131:$BG$135))),2)</f>
        <v>0</v>
      </c>
      <c r="I31" s="143"/>
      <c r="J31" s="143"/>
      <c r="M31" s="178">
        <v>0</v>
      </c>
      <c r="N31" s="143"/>
      <c r="O31" s="143"/>
      <c r="P31" s="143"/>
      <c r="R31" s="22"/>
    </row>
    <row r="32" spans="2:18" s="6" customFormat="1" ht="15" customHeight="1" hidden="1">
      <c r="B32" s="21"/>
      <c r="E32" s="26" t="s">
        <v>43</v>
      </c>
      <c r="F32" s="27">
        <v>0.15</v>
      </c>
      <c r="G32" s="92" t="s">
        <v>40</v>
      </c>
      <c r="H32" s="178">
        <f>ROUNDUP((((SUM($BH$94:$BH$101)+SUM($BH$119:$BH$129))+SUM($BH$131:$BH$135))),2)</f>
        <v>0</v>
      </c>
      <c r="I32" s="143"/>
      <c r="J32" s="143"/>
      <c r="M32" s="178">
        <v>0</v>
      </c>
      <c r="N32" s="143"/>
      <c r="O32" s="143"/>
      <c r="P32" s="143"/>
      <c r="R32" s="22"/>
    </row>
    <row r="33" spans="2:18" s="6" customFormat="1" ht="15" customHeight="1" hidden="1">
      <c r="B33" s="21"/>
      <c r="E33" s="26" t="s">
        <v>44</v>
      </c>
      <c r="F33" s="27">
        <v>0</v>
      </c>
      <c r="G33" s="92" t="s">
        <v>40</v>
      </c>
      <c r="H33" s="178">
        <f>ROUNDUP((((SUM($BI$94:$BI$101)+SUM($BI$119:$BI$129))+SUM($BI$131:$BI$135))),2)</f>
        <v>0</v>
      </c>
      <c r="I33" s="143"/>
      <c r="J33" s="143"/>
      <c r="M33" s="178">
        <v>0</v>
      </c>
      <c r="N33" s="143"/>
      <c r="O33" s="143"/>
      <c r="P33" s="143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45</v>
      </c>
      <c r="E35" s="32"/>
      <c r="F35" s="32"/>
      <c r="G35" s="93" t="s">
        <v>46</v>
      </c>
      <c r="H35" s="33" t="s">
        <v>47</v>
      </c>
      <c r="I35" s="32"/>
      <c r="J35" s="32"/>
      <c r="K35" s="32"/>
      <c r="L35" s="154">
        <f>ROUNDUP(SUM($M$27:$M$33),2)</f>
        <v>0</v>
      </c>
      <c r="M35" s="153"/>
      <c r="N35" s="153"/>
      <c r="O35" s="153"/>
      <c r="P35" s="155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48</v>
      </c>
      <c r="E50" s="35"/>
      <c r="F50" s="35"/>
      <c r="G50" s="35"/>
      <c r="H50" s="36"/>
      <c r="J50" s="34" t="s">
        <v>49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50</v>
      </c>
      <c r="E59" s="40"/>
      <c r="F59" s="40"/>
      <c r="G59" s="41" t="s">
        <v>51</v>
      </c>
      <c r="H59" s="42"/>
      <c r="J59" s="39" t="s">
        <v>50</v>
      </c>
      <c r="K59" s="40"/>
      <c r="L59" s="40"/>
      <c r="M59" s="40"/>
      <c r="N59" s="41" t="s">
        <v>51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52</v>
      </c>
      <c r="E61" s="35"/>
      <c r="F61" s="35"/>
      <c r="G61" s="35"/>
      <c r="H61" s="36"/>
      <c r="J61" s="34" t="s">
        <v>53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50</v>
      </c>
      <c r="E70" s="40"/>
      <c r="F70" s="40"/>
      <c r="G70" s="41" t="s">
        <v>51</v>
      </c>
      <c r="H70" s="42"/>
      <c r="J70" s="39" t="s">
        <v>50</v>
      </c>
      <c r="K70" s="40"/>
      <c r="L70" s="40"/>
      <c r="M70" s="40"/>
      <c r="N70" s="41" t="s">
        <v>51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1" t="s">
        <v>115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4" t="str">
        <f>$F$6</f>
        <v>130105 - MENDELU  - revitalizace objektu  Z</v>
      </c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R78" s="22"/>
    </row>
    <row r="79" spans="2:18" s="6" customFormat="1" ht="15" customHeight="1">
      <c r="B79" s="21"/>
      <c r="C79" s="14" t="s">
        <v>112</v>
      </c>
      <c r="F79" s="145" t="str">
        <f>$F$7</f>
        <v>3c.5 - SO 3c - Úpravy děkanátu,nová střešní konstrukce a zasklení v chodbách ve2-3NP - ZTI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BRNO</v>
      </c>
      <c r="K81" s="15" t="s">
        <v>20</v>
      </c>
      <c r="M81" s="179" t="str">
        <f>IF($O$9="","",$O$9)</f>
        <v>30.05.2013</v>
      </c>
      <c r="N81" s="143"/>
      <c r="O81" s="143"/>
      <c r="P81" s="143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MENDELOVA  UNIVERZITA  V  BRNĚ</v>
      </c>
      <c r="K83" s="15" t="s">
        <v>30</v>
      </c>
      <c r="M83" s="156" t="str">
        <f>$E$18</f>
        <v>ing.Helena Zámečníková Brno</v>
      </c>
      <c r="N83" s="143"/>
      <c r="O83" s="143"/>
      <c r="P83" s="143"/>
      <c r="Q83" s="143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56" t="str">
        <f>$E$21</f>
        <v>Kepertová</v>
      </c>
      <c r="N84" s="143"/>
      <c r="O84" s="143"/>
      <c r="P84" s="143"/>
      <c r="Q84" s="143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80" t="s">
        <v>116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80" t="s">
        <v>117</v>
      </c>
      <c r="O86" s="143"/>
      <c r="P86" s="143"/>
      <c r="Q86" s="143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118</v>
      </c>
      <c r="N88" s="169">
        <f>ROUNDUP($N$119,2)</f>
        <v>0</v>
      </c>
      <c r="O88" s="143"/>
      <c r="P88" s="143"/>
      <c r="Q88" s="143"/>
      <c r="R88" s="22"/>
      <c r="AU88" s="6" t="s">
        <v>119</v>
      </c>
    </row>
    <row r="89" spans="2:18" s="65" customFormat="1" ht="25.5" customHeight="1">
      <c r="B89" s="94"/>
      <c r="D89" s="95" t="s">
        <v>120</v>
      </c>
      <c r="N89" s="181">
        <f>ROUNDUP($N$120,2)</f>
        <v>0</v>
      </c>
      <c r="O89" s="182"/>
      <c r="P89" s="182"/>
      <c r="Q89" s="182"/>
      <c r="R89" s="96"/>
    </row>
    <row r="90" spans="2:18" s="90" customFormat="1" ht="21" customHeight="1">
      <c r="B90" s="97"/>
      <c r="D90" s="78" t="s">
        <v>121</v>
      </c>
      <c r="N90" s="167">
        <f>ROUNDUP($N$121,2)</f>
        <v>0</v>
      </c>
      <c r="O90" s="182"/>
      <c r="P90" s="182"/>
      <c r="Q90" s="182"/>
      <c r="R90" s="98"/>
    </row>
    <row r="91" spans="2:18" s="90" customFormat="1" ht="21" customHeight="1">
      <c r="B91" s="97"/>
      <c r="D91" s="78" t="s">
        <v>167</v>
      </c>
      <c r="N91" s="167">
        <f>ROUNDUP($N$126,2)</f>
        <v>0</v>
      </c>
      <c r="O91" s="182"/>
      <c r="P91" s="182"/>
      <c r="Q91" s="182"/>
      <c r="R91" s="98"/>
    </row>
    <row r="92" spans="2:18" s="65" customFormat="1" ht="22.5" customHeight="1">
      <c r="B92" s="94"/>
      <c r="D92" s="95" t="s">
        <v>122</v>
      </c>
      <c r="N92" s="183">
        <f>$N$130</f>
        <v>0</v>
      </c>
      <c r="O92" s="182"/>
      <c r="P92" s="182"/>
      <c r="Q92" s="182"/>
      <c r="R92" s="96"/>
    </row>
    <row r="93" spans="2:18" s="6" customFormat="1" ht="22.5" customHeight="1">
      <c r="B93" s="21"/>
      <c r="R93" s="22"/>
    </row>
    <row r="94" spans="2:21" s="6" customFormat="1" ht="30" customHeight="1">
      <c r="B94" s="21"/>
      <c r="C94" s="60" t="s">
        <v>123</v>
      </c>
      <c r="N94" s="169">
        <f>ROUNDUP($N$95+$N$96+$N$97+$N$98+$N$99+$N$100,2)</f>
        <v>0</v>
      </c>
      <c r="O94" s="143"/>
      <c r="P94" s="143"/>
      <c r="Q94" s="143"/>
      <c r="R94" s="22"/>
      <c r="T94" s="99"/>
      <c r="U94" s="100" t="s">
        <v>38</v>
      </c>
    </row>
    <row r="95" spans="2:62" s="6" customFormat="1" ht="18.75" customHeight="1">
      <c r="B95" s="21"/>
      <c r="D95" s="168" t="s">
        <v>124</v>
      </c>
      <c r="E95" s="143"/>
      <c r="F95" s="143"/>
      <c r="G95" s="143"/>
      <c r="H95" s="143"/>
      <c r="N95" s="166">
        <f>ROUNDUP($N$88*$T$95,2)</f>
        <v>0</v>
      </c>
      <c r="O95" s="143"/>
      <c r="P95" s="143"/>
      <c r="Q95" s="143"/>
      <c r="R95" s="22"/>
      <c r="T95" s="101"/>
      <c r="U95" s="102" t="s">
        <v>39</v>
      </c>
      <c r="AY95" s="6" t="s">
        <v>125</v>
      </c>
      <c r="BE95" s="82">
        <f>IF($U$95="základní",$N$95,0)</f>
        <v>0</v>
      </c>
      <c r="BF95" s="82">
        <f>IF($U$95="snížená",$N$95,0)</f>
        <v>0</v>
      </c>
      <c r="BG95" s="82">
        <f>IF($U$95="zákl. přenesená",$N$95,0)</f>
        <v>0</v>
      </c>
      <c r="BH95" s="82">
        <f>IF($U$95="sníž. přenesená",$N$95,0)</f>
        <v>0</v>
      </c>
      <c r="BI95" s="82">
        <f>IF($U$95="nulová",$N$95,0)</f>
        <v>0</v>
      </c>
      <c r="BJ95" s="6" t="s">
        <v>17</v>
      </c>
    </row>
    <row r="96" spans="2:62" s="6" customFormat="1" ht="18.75" customHeight="1">
      <c r="B96" s="21"/>
      <c r="D96" s="168" t="s">
        <v>126</v>
      </c>
      <c r="E96" s="143"/>
      <c r="F96" s="143"/>
      <c r="G96" s="143"/>
      <c r="H96" s="143"/>
      <c r="N96" s="166">
        <f>ROUNDUP($N$88*$T$96,2)</f>
        <v>0</v>
      </c>
      <c r="O96" s="143"/>
      <c r="P96" s="143"/>
      <c r="Q96" s="143"/>
      <c r="R96" s="22"/>
      <c r="T96" s="101"/>
      <c r="U96" s="102" t="s">
        <v>39</v>
      </c>
      <c r="AY96" s="6" t="s">
        <v>125</v>
      </c>
      <c r="BE96" s="82">
        <f>IF($U$96="základní",$N$96,0)</f>
        <v>0</v>
      </c>
      <c r="BF96" s="82">
        <f>IF($U$96="snížená",$N$96,0)</f>
        <v>0</v>
      </c>
      <c r="BG96" s="82">
        <f>IF($U$96="zákl. přenesená",$N$96,0)</f>
        <v>0</v>
      </c>
      <c r="BH96" s="82">
        <f>IF($U$96="sníž. přenesená",$N$96,0)</f>
        <v>0</v>
      </c>
      <c r="BI96" s="82">
        <f>IF($U$96="nulová",$N$96,0)</f>
        <v>0</v>
      </c>
      <c r="BJ96" s="6" t="s">
        <v>17</v>
      </c>
    </row>
    <row r="97" spans="2:62" s="6" customFormat="1" ht="18.75" customHeight="1">
      <c r="B97" s="21"/>
      <c r="D97" s="168" t="s">
        <v>127</v>
      </c>
      <c r="E97" s="143"/>
      <c r="F97" s="143"/>
      <c r="G97" s="143"/>
      <c r="H97" s="143"/>
      <c r="N97" s="166">
        <f>ROUNDUP($N$88*$T$97,2)</f>
        <v>0</v>
      </c>
      <c r="O97" s="143"/>
      <c r="P97" s="143"/>
      <c r="Q97" s="143"/>
      <c r="R97" s="22"/>
      <c r="T97" s="101"/>
      <c r="U97" s="102" t="s">
        <v>39</v>
      </c>
      <c r="AY97" s="6" t="s">
        <v>125</v>
      </c>
      <c r="BE97" s="82">
        <f>IF($U$97="základní",$N$97,0)</f>
        <v>0</v>
      </c>
      <c r="BF97" s="82">
        <f>IF($U$97="snížená",$N$97,0)</f>
        <v>0</v>
      </c>
      <c r="BG97" s="82">
        <f>IF($U$97="zákl. přenesená",$N$97,0)</f>
        <v>0</v>
      </c>
      <c r="BH97" s="82">
        <f>IF($U$97="sníž. přenesená",$N$97,0)</f>
        <v>0</v>
      </c>
      <c r="BI97" s="82">
        <f>IF($U$97="nulová",$N$97,0)</f>
        <v>0</v>
      </c>
      <c r="BJ97" s="6" t="s">
        <v>17</v>
      </c>
    </row>
    <row r="98" spans="2:62" s="6" customFormat="1" ht="18.75" customHeight="1">
      <c r="B98" s="21"/>
      <c r="D98" s="168" t="s">
        <v>128</v>
      </c>
      <c r="E98" s="143"/>
      <c r="F98" s="143"/>
      <c r="G98" s="143"/>
      <c r="H98" s="143"/>
      <c r="N98" s="166">
        <f>ROUNDUP($N$88*$T$98,2)</f>
        <v>0</v>
      </c>
      <c r="O98" s="143"/>
      <c r="P98" s="143"/>
      <c r="Q98" s="143"/>
      <c r="R98" s="22"/>
      <c r="T98" s="101"/>
      <c r="U98" s="102" t="s">
        <v>39</v>
      </c>
      <c r="AY98" s="6" t="s">
        <v>125</v>
      </c>
      <c r="BE98" s="82">
        <f>IF($U$98="základní",$N$98,0)</f>
        <v>0</v>
      </c>
      <c r="BF98" s="82">
        <f>IF($U$98="snížená",$N$98,0)</f>
        <v>0</v>
      </c>
      <c r="BG98" s="82">
        <f>IF($U$98="zákl. přenesená",$N$98,0)</f>
        <v>0</v>
      </c>
      <c r="BH98" s="82">
        <f>IF($U$98="sníž. přenesená",$N$98,0)</f>
        <v>0</v>
      </c>
      <c r="BI98" s="82">
        <f>IF($U$98="nulová",$N$98,0)</f>
        <v>0</v>
      </c>
      <c r="BJ98" s="6" t="s">
        <v>17</v>
      </c>
    </row>
    <row r="99" spans="2:62" s="6" customFormat="1" ht="18.75" customHeight="1">
      <c r="B99" s="21"/>
      <c r="D99" s="168" t="s">
        <v>129</v>
      </c>
      <c r="E99" s="143"/>
      <c r="F99" s="143"/>
      <c r="G99" s="143"/>
      <c r="H99" s="143"/>
      <c r="N99" s="166">
        <f>ROUNDUP($N$88*$T$99,2)</f>
        <v>0</v>
      </c>
      <c r="O99" s="143"/>
      <c r="P99" s="143"/>
      <c r="Q99" s="143"/>
      <c r="R99" s="22"/>
      <c r="T99" s="101"/>
      <c r="U99" s="102" t="s">
        <v>39</v>
      </c>
      <c r="AY99" s="6" t="s">
        <v>125</v>
      </c>
      <c r="BE99" s="82">
        <f>IF($U$99="základní",$N$99,0)</f>
        <v>0</v>
      </c>
      <c r="BF99" s="82">
        <f>IF($U$99="snížená",$N$99,0)</f>
        <v>0</v>
      </c>
      <c r="BG99" s="82">
        <f>IF($U$99="zákl. přenesená",$N$99,0)</f>
        <v>0</v>
      </c>
      <c r="BH99" s="82">
        <f>IF($U$99="sníž. přenesená",$N$99,0)</f>
        <v>0</v>
      </c>
      <c r="BI99" s="82">
        <f>IF($U$99="nulová",$N$99,0)</f>
        <v>0</v>
      </c>
      <c r="BJ99" s="6" t="s">
        <v>17</v>
      </c>
    </row>
    <row r="100" spans="2:62" s="6" customFormat="1" ht="18.75" customHeight="1">
      <c r="B100" s="21"/>
      <c r="D100" s="78" t="s">
        <v>130</v>
      </c>
      <c r="N100" s="166">
        <f>ROUNDUP($N$88*$T$100,2)</f>
        <v>0</v>
      </c>
      <c r="O100" s="143"/>
      <c r="P100" s="143"/>
      <c r="Q100" s="143"/>
      <c r="R100" s="22"/>
      <c r="T100" s="103"/>
      <c r="U100" s="104" t="s">
        <v>39</v>
      </c>
      <c r="AY100" s="6" t="s">
        <v>131</v>
      </c>
      <c r="BE100" s="82">
        <f>IF($U$100="základní",$N$100,0)</f>
        <v>0</v>
      </c>
      <c r="BF100" s="82">
        <f>IF($U$100="snížená",$N$100,0)</f>
        <v>0</v>
      </c>
      <c r="BG100" s="82">
        <f>IF($U$100="zákl. přenesená",$N$100,0)</f>
        <v>0</v>
      </c>
      <c r="BH100" s="82">
        <f>IF($U$100="sníž. přenesená",$N$100,0)</f>
        <v>0</v>
      </c>
      <c r="BI100" s="82">
        <f>IF($U$100="nulová",$N$100,0)</f>
        <v>0</v>
      </c>
      <c r="BJ100" s="6" t="s">
        <v>17</v>
      </c>
    </row>
    <row r="101" spans="2:18" s="6" customFormat="1" ht="14.25" customHeight="1">
      <c r="B101" s="21"/>
      <c r="R101" s="22"/>
    </row>
    <row r="102" spans="2:18" s="6" customFormat="1" ht="30" customHeight="1">
      <c r="B102" s="21"/>
      <c r="C102" s="89" t="s">
        <v>108</v>
      </c>
      <c r="D102" s="30"/>
      <c r="E102" s="30"/>
      <c r="F102" s="30"/>
      <c r="G102" s="30"/>
      <c r="H102" s="30"/>
      <c r="I102" s="30"/>
      <c r="J102" s="30"/>
      <c r="K102" s="30"/>
      <c r="L102" s="171">
        <f>ROUNDUP(SUM($N$88+$N$94),2)</f>
        <v>0</v>
      </c>
      <c r="M102" s="172"/>
      <c r="N102" s="172"/>
      <c r="O102" s="172"/>
      <c r="P102" s="172"/>
      <c r="Q102" s="172"/>
      <c r="R102" s="22"/>
    </row>
    <row r="103" spans="2:18" s="6" customFormat="1" ht="7.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5"/>
    </row>
    <row r="107" spans="2:18" s="6" customFormat="1" ht="7.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8"/>
    </row>
    <row r="108" spans="2:18" s="6" customFormat="1" ht="37.5" customHeight="1">
      <c r="B108" s="21"/>
      <c r="C108" s="141" t="s">
        <v>132</v>
      </c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22"/>
    </row>
    <row r="109" spans="2:18" s="6" customFormat="1" ht="7.5" customHeight="1">
      <c r="B109" s="21"/>
      <c r="R109" s="22"/>
    </row>
    <row r="110" spans="2:18" s="6" customFormat="1" ht="15" customHeight="1">
      <c r="B110" s="21"/>
      <c r="C110" s="15" t="s">
        <v>14</v>
      </c>
      <c r="F110" s="174" t="str">
        <f>$F$6</f>
        <v>130105 - MENDELU  - revitalizace objektu  Z</v>
      </c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R110" s="22"/>
    </row>
    <row r="111" spans="2:18" s="6" customFormat="1" ht="15" customHeight="1">
      <c r="B111" s="21"/>
      <c r="C111" s="14" t="s">
        <v>112</v>
      </c>
      <c r="F111" s="145" t="str">
        <f>$F$7</f>
        <v>3c.5 - SO 3c - Úpravy děkanátu,nová střešní konstrukce a zasklení v chodbách ve2-3NP - ZTI</v>
      </c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R111" s="22"/>
    </row>
    <row r="112" spans="2:18" s="6" customFormat="1" ht="7.5" customHeight="1">
      <c r="B112" s="21"/>
      <c r="R112" s="22"/>
    </row>
    <row r="113" spans="2:18" s="6" customFormat="1" ht="18.75" customHeight="1">
      <c r="B113" s="21"/>
      <c r="C113" s="15" t="s">
        <v>18</v>
      </c>
      <c r="F113" s="16" t="str">
        <f>$F$9</f>
        <v>BRNO</v>
      </c>
      <c r="K113" s="15" t="s">
        <v>20</v>
      </c>
      <c r="M113" s="179" t="str">
        <f>IF($O$9="","",$O$9)</f>
        <v>30.05.2013</v>
      </c>
      <c r="N113" s="143"/>
      <c r="O113" s="143"/>
      <c r="P113" s="143"/>
      <c r="R113" s="22"/>
    </row>
    <row r="114" spans="2:18" s="6" customFormat="1" ht="7.5" customHeight="1">
      <c r="B114" s="21"/>
      <c r="R114" s="22"/>
    </row>
    <row r="115" spans="2:18" s="6" customFormat="1" ht="15.75" customHeight="1">
      <c r="B115" s="21"/>
      <c r="C115" s="15" t="s">
        <v>24</v>
      </c>
      <c r="F115" s="16" t="str">
        <f>$E$12</f>
        <v>MENDELOVA  UNIVERZITA  V  BRNĚ</v>
      </c>
      <c r="K115" s="15" t="s">
        <v>30</v>
      </c>
      <c r="M115" s="156" t="str">
        <f>$E$18</f>
        <v>ing.Helena Zámečníková Brno</v>
      </c>
      <c r="N115" s="143"/>
      <c r="O115" s="143"/>
      <c r="P115" s="143"/>
      <c r="Q115" s="143"/>
      <c r="R115" s="22"/>
    </row>
    <row r="116" spans="2:18" s="6" customFormat="1" ht="15" customHeight="1">
      <c r="B116" s="21"/>
      <c r="C116" s="15" t="s">
        <v>28</v>
      </c>
      <c r="F116" s="16" t="str">
        <f>IF($E$15="","",$E$15)</f>
        <v>Vyplň údaj</v>
      </c>
      <c r="K116" s="15" t="s">
        <v>33</v>
      </c>
      <c r="M116" s="156" t="str">
        <f>$E$21</f>
        <v>Kepertová</v>
      </c>
      <c r="N116" s="143"/>
      <c r="O116" s="143"/>
      <c r="P116" s="143"/>
      <c r="Q116" s="143"/>
      <c r="R116" s="22"/>
    </row>
    <row r="117" spans="2:18" s="6" customFormat="1" ht="11.25" customHeight="1">
      <c r="B117" s="21"/>
      <c r="R117" s="22"/>
    </row>
    <row r="118" spans="2:27" s="105" customFormat="1" ht="30" customHeight="1">
      <c r="B118" s="106"/>
      <c r="C118" s="107" t="s">
        <v>133</v>
      </c>
      <c r="D118" s="108" t="s">
        <v>134</v>
      </c>
      <c r="E118" s="108" t="s">
        <v>56</v>
      </c>
      <c r="F118" s="184" t="s">
        <v>135</v>
      </c>
      <c r="G118" s="185"/>
      <c r="H118" s="185"/>
      <c r="I118" s="185"/>
      <c r="J118" s="108" t="s">
        <v>136</v>
      </c>
      <c r="K118" s="108" t="s">
        <v>137</v>
      </c>
      <c r="L118" s="184" t="s">
        <v>138</v>
      </c>
      <c r="M118" s="185"/>
      <c r="N118" s="184" t="s">
        <v>139</v>
      </c>
      <c r="O118" s="185"/>
      <c r="P118" s="185"/>
      <c r="Q118" s="186"/>
      <c r="R118" s="109"/>
      <c r="T118" s="55" t="s">
        <v>140</v>
      </c>
      <c r="U118" s="56" t="s">
        <v>38</v>
      </c>
      <c r="V118" s="56" t="s">
        <v>141</v>
      </c>
      <c r="W118" s="56" t="s">
        <v>142</v>
      </c>
      <c r="X118" s="56" t="s">
        <v>143</v>
      </c>
      <c r="Y118" s="56" t="s">
        <v>144</v>
      </c>
      <c r="Z118" s="56" t="s">
        <v>145</v>
      </c>
      <c r="AA118" s="57" t="s">
        <v>146</v>
      </c>
    </row>
    <row r="119" spans="2:63" s="6" customFormat="1" ht="30" customHeight="1">
      <c r="B119" s="21"/>
      <c r="C119" s="60" t="s">
        <v>114</v>
      </c>
      <c r="N119" s="193">
        <f>$BK$119</f>
        <v>0</v>
      </c>
      <c r="O119" s="143"/>
      <c r="P119" s="143"/>
      <c r="Q119" s="143"/>
      <c r="R119" s="22"/>
      <c r="T119" s="59"/>
      <c r="U119" s="35"/>
      <c r="V119" s="35"/>
      <c r="W119" s="110">
        <f>$W$120+$W$130</f>
        <v>7.811100000000001</v>
      </c>
      <c r="X119" s="35"/>
      <c r="Y119" s="110">
        <f>$Y$120+$Y$130</f>
        <v>0.003161</v>
      </c>
      <c r="Z119" s="35"/>
      <c r="AA119" s="111">
        <f>$AA$120+$AA$130</f>
        <v>0</v>
      </c>
      <c r="AT119" s="6" t="s">
        <v>73</v>
      </c>
      <c r="AU119" s="6" t="s">
        <v>119</v>
      </c>
      <c r="BK119" s="112">
        <f>$BK$120+$BK$130</f>
        <v>0</v>
      </c>
    </row>
    <row r="120" spans="2:63" s="113" customFormat="1" ht="37.5" customHeight="1">
      <c r="B120" s="114"/>
      <c r="D120" s="115" t="s">
        <v>120</v>
      </c>
      <c r="N120" s="183">
        <f>$BK$120</f>
        <v>0</v>
      </c>
      <c r="O120" s="194"/>
      <c r="P120" s="194"/>
      <c r="Q120" s="194"/>
      <c r="R120" s="117"/>
      <c r="T120" s="118"/>
      <c r="W120" s="119">
        <f>$W$121+$W$126</f>
        <v>7.811100000000001</v>
      </c>
      <c r="Y120" s="119">
        <f>$Y$121+$Y$126</f>
        <v>0.003161</v>
      </c>
      <c r="AA120" s="120">
        <f>$AA$121+$AA$126</f>
        <v>0</v>
      </c>
      <c r="AR120" s="116" t="s">
        <v>110</v>
      </c>
      <c r="AT120" s="116" t="s">
        <v>73</v>
      </c>
      <c r="AU120" s="116" t="s">
        <v>74</v>
      </c>
      <c r="AY120" s="116" t="s">
        <v>147</v>
      </c>
      <c r="BK120" s="121">
        <f>$BK$121+$BK$126</f>
        <v>0</v>
      </c>
    </row>
    <row r="121" spans="2:63" s="113" customFormat="1" ht="21" customHeight="1">
      <c r="B121" s="114"/>
      <c r="D121" s="122" t="s">
        <v>121</v>
      </c>
      <c r="N121" s="195">
        <f>$BK$121</f>
        <v>0</v>
      </c>
      <c r="O121" s="194"/>
      <c r="P121" s="194"/>
      <c r="Q121" s="194"/>
      <c r="R121" s="117"/>
      <c r="T121" s="118"/>
      <c r="W121" s="119">
        <f>SUM($W$122:$W$125)</f>
        <v>7.811100000000001</v>
      </c>
      <c r="Y121" s="119">
        <f>SUM($Y$122:$Y$125)</f>
        <v>0.003161</v>
      </c>
      <c r="AA121" s="120">
        <f>SUM($AA$122:$AA$125)</f>
        <v>0</v>
      </c>
      <c r="AR121" s="116" t="s">
        <v>110</v>
      </c>
      <c r="AT121" s="116" t="s">
        <v>73</v>
      </c>
      <c r="AU121" s="116" t="s">
        <v>17</v>
      </c>
      <c r="AY121" s="116" t="s">
        <v>147</v>
      </c>
      <c r="BK121" s="121">
        <f>SUM($BK$122:$BK$125)</f>
        <v>0</v>
      </c>
    </row>
    <row r="122" spans="2:64" s="6" customFormat="1" ht="27" customHeight="1">
      <c r="B122" s="21"/>
      <c r="C122" s="123" t="s">
        <v>17</v>
      </c>
      <c r="D122" s="123" t="s">
        <v>148</v>
      </c>
      <c r="E122" s="124" t="s">
        <v>189</v>
      </c>
      <c r="F122" s="187" t="s">
        <v>190</v>
      </c>
      <c r="G122" s="188"/>
      <c r="H122" s="188"/>
      <c r="I122" s="188"/>
      <c r="J122" s="125" t="s">
        <v>151</v>
      </c>
      <c r="K122" s="126">
        <v>10.9</v>
      </c>
      <c r="L122" s="189">
        <v>0</v>
      </c>
      <c r="M122" s="188"/>
      <c r="N122" s="190">
        <f>ROUND($L$122*$K$122,2)</f>
        <v>0</v>
      </c>
      <c r="O122" s="188"/>
      <c r="P122" s="188"/>
      <c r="Q122" s="188"/>
      <c r="R122" s="22"/>
      <c r="T122" s="127"/>
      <c r="U122" s="28" t="s">
        <v>39</v>
      </c>
      <c r="V122" s="128">
        <v>0.659</v>
      </c>
      <c r="W122" s="128">
        <f>$V$122*$K$122</f>
        <v>7.1831000000000005</v>
      </c>
      <c r="X122" s="128">
        <v>0.00029</v>
      </c>
      <c r="Y122" s="128">
        <f>$X$122*$K$122</f>
        <v>0.003161</v>
      </c>
      <c r="Z122" s="128">
        <v>0</v>
      </c>
      <c r="AA122" s="129">
        <f>$Z$122*$K$122</f>
        <v>0</v>
      </c>
      <c r="AR122" s="6" t="s">
        <v>152</v>
      </c>
      <c r="AT122" s="6" t="s">
        <v>148</v>
      </c>
      <c r="AU122" s="6" t="s">
        <v>110</v>
      </c>
      <c r="AY122" s="6" t="s">
        <v>147</v>
      </c>
      <c r="BE122" s="82">
        <f>IF($U$122="základní",$N$122,0)</f>
        <v>0</v>
      </c>
      <c r="BF122" s="82">
        <f>IF($U$122="snížená",$N$122,0)</f>
        <v>0</v>
      </c>
      <c r="BG122" s="82">
        <f>IF($U$122="zákl. přenesená",$N$122,0)</f>
        <v>0</v>
      </c>
      <c r="BH122" s="82">
        <f>IF($U$122="sníž. přenesená",$N$122,0)</f>
        <v>0</v>
      </c>
      <c r="BI122" s="82">
        <f>IF($U$122="nulová",$N$122,0)</f>
        <v>0</v>
      </c>
      <c r="BJ122" s="6" t="s">
        <v>17</v>
      </c>
      <c r="BK122" s="82">
        <f>ROUND($L$122*$K$122,2)</f>
        <v>0</v>
      </c>
      <c r="BL122" s="6" t="s">
        <v>152</v>
      </c>
    </row>
    <row r="123" spans="2:64" s="6" customFormat="1" ht="15.75" customHeight="1">
      <c r="B123" s="21"/>
      <c r="C123" s="123" t="s">
        <v>110</v>
      </c>
      <c r="D123" s="123" t="s">
        <v>148</v>
      </c>
      <c r="E123" s="124" t="s">
        <v>200</v>
      </c>
      <c r="F123" s="187" t="s">
        <v>201</v>
      </c>
      <c r="G123" s="188"/>
      <c r="H123" s="188"/>
      <c r="I123" s="188"/>
      <c r="J123" s="125" t="s">
        <v>155</v>
      </c>
      <c r="K123" s="126">
        <v>4</v>
      </c>
      <c r="L123" s="189">
        <v>0</v>
      </c>
      <c r="M123" s="188"/>
      <c r="N123" s="190">
        <f>ROUND($L$123*$K$123,2)</f>
        <v>0</v>
      </c>
      <c r="O123" s="188"/>
      <c r="P123" s="188"/>
      <c r="Q123" s="188"/>
      <c r="R123" s="22"/>
      <c r="T123" s="127"/>
      <c r="U123" s="28" t="s">
        <v>39</v>
      </c>
      <c r="V123" s="128">
        <v>0.157</v>
      </c>
      <c r="W123" s="128">
        <f>$V$123*$K$123</f>
        <v>0.628</v>
      </c>
      <c r="X123" s="128">
        <v>0</v>
      </c>
      <c r="Y123" s="128">
        <f>$X$123*$K$123</f>
        <v>0</v>
      </c>
      <c r="Z123" s="128">
        <v>0</v>
      </c>
      <c r="AA123" s="129">
        <f>$Z$123*$K$123</f>
        <v>0</v>
      </c>
      <c r="AR123" s="6" t="s">
        <v>152</v>
      </c>
      <c r="AT123" s="6" t="s">
        <v>148</v>
      </c>
      <c r="AU123" s="6" t="s">
        <v>110</v>
      </c>
      <c r="AY123" s="6" t="s">
        <v>147</v>
      </c>
      <c r="BE123" s="82">
        <f>IF($U$123="základní",$N$123,0)</f>
        <v>0</v>
      </c>
      <c r="BF123" s="82">
        <f>IF($U$123="snížená",$N$123,0)</f>
        <v>0</v>
      </c>
      <c r="BG123" s="82">
        <f>IF($U$123="zákl. přenesená",$N$123,0)</f>
        <v>0</v>
      </c>
      <c r="BH123" s="82">
        <f>IF($U$123="sníž. přenesená",$N$123,0)</f>
        <v>0</v>
      </c>
      <c r="BI123" s="82">
        <f>IF($U$123="nulová",$N$123,0)</f>
        <v>0</v>
      </c>
      <c r="BJ123" s="6" t="s">
        <v>17</v>
      </c>
      <c r="BK123" s="82">
        <f>ROUND($L$123*$K$123,2)</f>
        <v>0</v>
      </c>
      <c r="BL123" s="6" t="s">
        <v>152</v>
      </c>
    </row>
    <row r="124" spans="2:64" s="6" customFormat="1" ht="27" customHeight="1">
      <c r="B124" s="21"/>
      <c r="C124" s="123" t="s">
        <v>156</v>
      </c>
      <c r="D124" s="123" t="s">
        <v>148</v>
      </c>
      <c r="E124" s="124" t="s">
        <v>210</v>
      </c>
      <c r="F124" s="187" t="s">
        <v>211</v>
      </c>
      <c r="G124" s="188"/>
      <c r="H124" s="188"/>
      <c r="I124" s="188"/>
      <c r="J124" s="125" t="s">
        <v>155</v>
      </c>
      <c r="K124" s="126">
        <v>4</v>
      </c>
      <c r="L124" s="189">
        <v>0</v>
      </c>
      <c r="M124" s="188"/>
      <c r="N124" s="190">
        <f>ROUND($L$124*$K$124,2)</f>
        <v>0</v>
      </c>
      <c r="O124" s="188"/>
      <c r="P124" s="188"/>
      <c r="Q124" s="188"/>
      <c r="R124" s="22"/>
      <c r="T124" s="127"/>
      <c r="U124" s="28" t="s">
        <v>39</v>
      </c>
      <c r="V124" s="128">
        <v>0</v>
      </c>
      <c r="W124" s="128">
        <f>$V$124*$K$124</f>
        <v>0</v>
      </c>
      <c r="X124" s="128">
        <v>0</v>
      </c>
      <c r="Y124" s="128">
        <f>$X$124*$K$124</f>
        <v>0</v>
      </c>
      <c r="Z124" s="128">
        <v>0</v>
      </c>
      <c r="AA124" s="129">
        <f>$Z$124*$K$124</f>
        <v>0</v>
      </c>
      <c r="AR124" s="6" t="s">
        <v>152</v>
      </c>
      <c r="AT124" s="6" t="s">
        <v>148</v>
      </c>
      <c r="AU124" s="6" t="s">
        <v>110</v>
      </c>
      <c r="AY124" s="6" t="s">
        <v>147</v>
      </c>
      <c r="BE124" s="82">
        <f>IF($U$124="základní",$N$124,0)</f>
        <v>0</v>
      </c>
      <c r="BF124" s="82">
        <f>IF($U$124="snížená",$N$124,0)</f>
        <v>0</v>
      </c>
      <c r="BG124" s="82">
        <f>IF($U$124="zákl. přenesená",$N$124,0)</f>
        <v>0</v>
      </c>
      <c r="BH124" s="82">
        <f>IF($U$124="sníž. přenesená",$N$124,0)</f>
        <v>0</v>
      </c>
      <c r="BI124" s="82">
        <f>IF($U$124="nulová",$N$124,0)</f>
        <v>0</v>
      </c>
      <c r="BJ124" s="6" t="s">
        <v>17</v>
      </c>
      <c r="BK124" s="82">
        <f>ROUND($L$124*$K$124,2)</f>
        <v>0</v>
      </c>
      <c r="BL124" s="6" t="s">
        <v>152</v>
      </c>
    </row>
    <row r="125" spans="2:64" s="6" customFormat="1" ht="27" customHeight="1">
      <c r="B125" s="21"/>
      <c r="C125" s="123" t="s">
        <v>172</v>
      </c>
      <c r="D125" s="123" t="s">
        <v>148</v>
      </c>
      <c r="E125" s="124" t="s">
        <v>330</v>
      </c>
      <c r="F125" s="187" t="s">
        <v>331</v>
      </c>
      <c r="G125" s="188"/>
      <c r="H125" s="188"/>
      <c r="I125" s="188"/>
      <c r="J125" s="125" t="s">
        <v>159</v>
      </c>
      <c r="K125" s="130">
        <v>0</v>
      </c>
      <c r="L125" s="189">
        <v>0</v>
      </c>
      <c r="M125" s="188"/>
      <c r="N125" s="190">
        <f>ROUND($L$125*$K$125,2)</f>
        <v>0</v>
      </c>
      <c r="O125" s="188"/>
      <c r="P125" s="188"/>
      <c r="Q125" s="188"/>
      <c r="R125" s="22"/>
      <c r="T125" s="127"/>
      <c r="U125" s="28" t="s">
        <v>39</v>
      </c>
      <c r="V125" s="128">
        <v>0</v>
      </c>
      <c r="W125" s="128">
        <f>$V$125*$K$125</f>
        <v>0</v>
      </c>
      <c r="X125" s="128">
        <v>0</v>
      </c>
      <c r="Y125" s="128">
        <f>$X$125*$K$125</f>
        <v>0</v>
      </c>
      <c r="Z125" s="128">
        <v>0</v>
      </c>
      <c r="AA125" s="129">
        <f>$Z$125*$K$125</f>
        <v>0</v>
      </c>
      <c r="AR125" s="6" t="s">
        <v>152</v>
      </c>
      <c r="AT125" s="6" t="s">
        <v>148</v>
      </c>
      <c r="AU125" s="6" t="s">
        <v>110</v>
      </c>
      <c r="AY125" s="6" t="s">
        <v>147</v>
      </c>
      <c r="BE125" s="82">
        <f>IF($U$125="základní",$N$125,0)</f>
        <v>0</v>
      </c>
      <c r="BF125" s="82">
        <f>IF($U$125="snížená",$N$125,0)</f>
        <v>0</v>
      </c>
      <c r="BG125" s="82">
        <f>IF($U$125="zákl. přenesená",$N$125,0)</f>
        <v>0</v>
      </c>
      <c r="BH125" s="82">
        <f>IF($U$125="sníž. přenesená",$N$125,0)</f>
        <v>0</v>
      </c>
      <c r="BI125" s="82">
        <f>IF($U$125="nulová",$N$125,0)</f>
        <v>0</v>
      </c>
      <c r="BJ125" s="6" t="s">
        <v>17</v>
      </c>
      <c r="BK125" s="82">
        <f>ROUND($L$125*$K$125,2)</f>
        <v>0</v>
      </c>
      <c r="BL125" s="6" t="s">
        <v>152</v>
      </c>
    </row>
    <row r="126" spans="2:63" s="113" customFormat="1" ht="30.75" customHeight="1">
      <c r="B126" s="114"/>
      <c r="D126" s="122" t="s">
        <v>167</v>
      </c>
      <c r="N126" s="195">
        <f>$BK$126</f>
        <v>0</v>
      </c>
      <c r="O126" s="194"/>
      <c r="P126" s="194"/>
      <c r="Q126" s="194"/>
      <c r="R126" s="117"/>
      <c r="T126" s="118"/>
      <c r="W126" s="119">
        <f>SUM($W$127:$W$129)</f>
        <v>0</v>
      </c>
      <c r="Y126" s="119">
        <f>SUM($Y$127:$Y$129)</f>
        <v>0</v>
      </c>
      <c r="AA126" s="120">
        <f>SUM($AA$127:$AA$129)</f>
        <v>0</v>
      </c>
      <c r="AR126" s="116" t="s">
        <v>110</v>
      </c>
      <c r="AT126" s="116" t="s">
        <v>73</v>
      </c>
      <c r="AU126" s="116" t="s">
        <v>17</v>
      </c>
      <c r="AY126" s="116" t="s">
        <v>147</v>
      </c>
      <c r="BK126" s="121">
        <f>SUM($BK$127:$BK$129)</f>
        <v>0</v>
      </c>
    </row>
    <row r="127" spans="2:64" s="6" customFormat="1" ht="15.75" customHeight="1">
      <c r="B127" s="21"/>
      <c r="C127" s="123" t="s">
        <v>182</v>
      </c>
      <c r="D127" s="123" t="s">
        <v>148</v>
      </c>
      <c r="E127" s="124" t="s">
        <v>237</v>
      </c>
      <c r="F127" s="187" t="s">
        <v>238</v>
      </c>
      <c r="G127" s="188"/>
      <c r="H127" s="188"/>
      <c r="I127" s="188"/>
      <c r="J127" s="125" t="s">
        <v>151</v>
      </c>
      <c r="K127" s="126">
        <v>5.8</v>
      </c>
      <c r="L127" s="189">
        <v>0</v>
      </c>
      <c r="M127" s="188"/>
      <c r="N127" s="190">
        <f>ROUND($L$127*$K$127,2)</f>
        <v>0</v>
      </c>
      <c r="O127" s="188"/>
      <c r="P127" s="188"/>
      <c r="Q127" s="188"/>
      <c r="R127" s="22"/>
      <c r="T127" s="127"/>
      <c r="U127" s="28" t="s">
        <v>39</v>
      </c>
      <c r="V127" s="128">
        <v>0</v>
      </c>
      <c r="W127" s="128">
        <f>$V$127*$K$127</f>
        <v>0</v>
      </c>
      <c r="X127" s="128">
        <v>0</v>
      </c>
      <c r="Y127" s="128">
        <f>$X$127*$K$127</f>
        <v>0</v>
      </c>
      <c r="Z127" s="128">
        <v>0</v>
      </c>
      <c r="AA127" s="129">
        <f>$Z$127*$K$127</f>
        <v>0</v>
      </c>
      <c r="AR127" s="6" t="s">
        <v>152</v>
      </c>
      <c r="AT127" s="6" t="s">
        <v>148</v>
      </c>
      <c r="AU127" s="6" t="s">
        <v>110</v>
      </c>
      <c r="AY127" s="6" t="s">
        <v>147</v>
      </c>
      <c r="BE127" s="82">
        <f>IF($U$127="základní",$N$127,0)</f>
        <v>0</v>
      </c>
      <c r="BF127" s="82">
        <f>IF($U$127="snížená",$N$127,0)</f>
        <v>0</v>
      </c>
      <c r="BG127" s="82">
        <f>IF($U$127="zákl. přenesená",$N$127,0)</f>
        <v>0</v>
      </c>
      <c r="BH127" s="82">
        <f>IF($U$127="sníž. přenesená",$N$127,0)</f>
        <v>0</v>
      </c>
      <c r="BI127" s="82">
        <f>IF($U$127="nulová",$N$127,0)</f>
        <v>0</v>
      </c>
      <c r="BJ127" s="6" t="s">
        <v>17</v>
      </c>
      <c r="BK127" s="82">
        <f>ROUND($L$127*$K$127,2)</f>
        <v>0</v>
      </c>
      <c r="BL127" s="6" t="s">
        <v>152</v>
      </c>
    </row>
    <row r="128" spans="2:64" s="6" customFormat="1" ht="27" customHeight="1">
      <c r="B128" s="21"/>
      <c r="C128" s="135" t="s">
        <v>185</v>
      </c>
      <c r="D128" s="135" t="s">
        <v>173</v>
      </c>
      <c r="E128" s="136" t="s">
        <v>240</v>
      </c>
      <c r="F128" s="196" t="s">
        <v>349</v>
      </c>
      <c r="G128" s="197"/>
      <c r="H128" s="197"/>
      <c r="I128" s="197"/>
      <c r="J128" s="137" t="s">
        <v>155</v>
      </c>
      <c r="K128" s="138">
        <v>2</v>
      </c>
      <c r="L128" s="198">
        <v>0</v>
      </c>
      <c r="M128" s="197"/>
      <c r="N128" s="199">
        <f>ROUND($L$128*$K$128,2)</f>
        <v>0</v>
      </c>
      <c r="O128" s="188"/>
      <c r="P128" s="188"/>
      <c r="Q128" s="188"/>
      <c r="R128" s="22"/>
      <c r="T128" s="127"/>
      <c r="U128" s="28" t="s">
        <v>39</v>
      </c>
      <c r="V128" s="128">
        <v>0</v>
      </c>
      <c r="W128" s="128">
        <f>$V$128*$K$128</f>
        <v>0</v>
      </c>
      <c r="X128" s="128">
        <v>0</v>
      </c>
      <c r="Y128" s="128">
        <f>$X$128*$K$128</f>
        <v>0</v>
      </c>
      <c r="Z128" s="128">
        <v>0</v>
      </c>
      <c r="AA128" s="129">
        <f>$Z$128*$K$128</f>
        <v>0</v>
      </c>
      <c r="AR128" s="6" t="s">
        <v>243</v>
      </c>
      <c r="AT128" s="6" t="s">
        <v>173</v>
      </c>
      <c r="AU128" s="6" t="s">
        <v>110</v>
      </c>
      <c r="AY128" s="6" t="s">
        <v>147</v>
      </c>
      <c r="BE128" s="82">
        <f>IF($U$128="základní",$N$128,0)</f>
        <v>0</v>
      </c>
      <c r="BF128" s="82">
        <f>IF($U$128="snížená",$N$128,0)</f>
        <v>0</v>
      </c>
      <c r="BG128" s="82">
        <f>IF($U$128="zákl. přenesená",$N$128,0)</f>
        <v>0</v>
      </c>
      <c r="BH128" s="82">
        <f>IF($U$128="sníž. přenesená",$N$128,0)</f>
        <v>0</v>
      </c>
      <c r="BI128" s="82">
        <f>IF($U$128="nulová",$N$128,0)</f>
        <v>0</v>
      </c>
      <c r="BJ128" s="6" t="s">
        <v>17</v>
      </c>
      <c r="BK128" s="82">
        <f>ROUND($L$128*$K$128,2)</f>
        <v>0</v>
      </c>
      <c r="BL128" s="6" t="s">
        <v>152</v>
      </c>
    </row>
    <row r="129" spans="2:64" s="6" customFormat="1" ht="27" customHeight="1">
      <c r="B129" s="21"/>
      <c r="C129" s="123" t="s">
        <v>188</v>
      </c>
      <c r="D129" s="123" t="s">
        <v>148</v>
      </c>
      <c r="E129" s="124" t="s">
        <v>257</v>
      </c>
      <c r="F129" s="187" t="s">
        <v>258</v>
      </c>
      <c r="G129" s="188"/>
      <c r="H129" s="188"/>
      <c r="I129" s="188"/>
      <c r="J129" s="125" t="s">
        <v>159</v>
      </c>
      <c r="K129" s="130">
        <v>0</v>
      </c>
      <c r="L129" s="189">
        <v>0</v>
      </c>
      <c r="M129" s="188"/>
      <c r="N129" s="190">
        <f>ROUND($L$129*$K$129,2)</f>
        <v>0</v>
      </c>
      <c r="O129" s="188"/>
      <c r="P129" s="188"/>
      <c r="Q129" s="188"/>
      <c r="R129" s="22"/>
      <c r="T129" s="127"/>
      <c r="U129" s="28" t="s">
        <v>39</v>
      </c>
      <c r="V129" s="128">
        <v>0</v>
      </c>
      <c r="W129" s="128">
        <f>$V$129*$K$129</f>
        <v>0</v>
      </c>
      <c r="X129" s="128">
        <v>0</v>
      </c>
      <c r="Y129" s="128">
        <f>$X$129*$K$129</f>
        <v>0</v>
      </c>
      <c r="Z129" s="128">
        <v>0</v>
      </c>
      <c r="AA129" s="129">
        <f>$Z$129*$K$129</f>
        <v>0</v>
      </c>
      <c r="AR129" s="6" t="s">
        <v>152</v>
      </c>
      <c r="AT129" s="6" t="s">
        <v>148</v>
      </c>
      <c r="AU129" s="6" t="s">
        <v>110</v>
      </c>
      <c r="AY129" s="6" t="s">
        <v>147</v>
      </c>
      <c r="BE129" s="82">
        <f>IF($U$129="základní",$N$129,0)</f>
        <v>0</v>
      </c>
      <c r="BF129" s="82">
        <f>IF($U$129="snížená",$N$129,0)</f>
        <v>0</v>
      </c>
      <c r="BG129" s="82">
        <f>IF($U$129="zákl. přenesená",$N$129,0)</f>
        <v>0</v>
      </c>
      <c r="BH129" s="82">
        <f>IF($U$129="sníž. přenesená",$N$129,0)</f>
        <v>0</v>
      </c>
      <c r="BI129" s="82">
        <f>IF($U$129="nulová",$N$129,0)</f>
        <v>0</v>
      </c>
      <c r="BJ129" s="6" t="s">
        <v>17</v>
      </c>
      <c r="BK129" s="82">
        <f>ROUND($L$129*$K$129,2)</f>
        <v>0</v>
      </c>
      <c r="BL129" s="6" t="s">
        <v>152</v>
      </c>
    </row>
    <row r="130" spans="2:63" s="6" customFormat="1" ht="51" customHeight="1">
      <c r="B130" s="21"/>
      <c r="D130" s="115" t="s">
        <v>160</v>
      </c>
      <c r="N130" s="183">
        <f>$BK$130</f>
        <v>0</v>
      </c>
      <c r="O130" s="143"/>
      <c r="P130" s="143"/>
      <c r="Q130" s="143"/>
      <c r="R130" s="22"/>
      <c r="T130" s="53"/>
      <c r="AA130" s="54"/>
      <c r="AT130" s="6" t="s">
        <v>73</v>
      </c>
      <c r="AU130" s="6" t="s">
        <v>74</v>
      </c>
      <c r="AY130" s="6" t="s">
        <v>161</v>
      </c>
      <c r="BK130" s="82">
        <f>SUM($BK$131:$BK$135)</f>
        <v>0</v>
      </c>
    </row>
    <row r="131" spans="2:63" s="6" customFormat="1" ht="23.25" customHeight="1">
      <c r="B131" s="21"/>
      <c r="C131" s="131"/>
      <c r="D131" s="131" t="s">
        <v>148</v>
      </c>
      <c r="E131" s="132"/>
      <c r="F131" s="191"/>
      <c r="G131" s="192"/>
      <c r="H131" s="192"/>
      <c r="I131" s="192"/>
      <c r="J131" s="133"/>
      <c r="K131" s="130"/>
      <c r="L131" s="189"/>
      <c r="M131" s="188"/>
      <c r="N131" s="190">
        <f>$BK$131</f>
        <v>0</v>
      </c>
      <c r="O131" s="188"/>
      <c r="P131" s="188"/>
      <c r="Q131" s="188"/>
      <c r="R131" s="22"/>
      <c r="T131" s="127"/>
      <c r="U131" s="134" t="s">
        <v>39</v>
      </c>
      <c r="AA131" s="54"/>
      <c r="AT131" s="6" t="s">
        <v>161</v>
      </c>
      <c r="AU131" s="6" t="s">
        <v>17</v>
      </c>
      <c r="AY131" s="6" t="s">
        <v>161</v>
      </c>
      <c r="BE131" s="82">
        <f>IF($U$131="základní",$N$131,0)</f>
        <v>0</v>
      </c>
      <c r="BF131" s="82">
        <f>IF($U$131="snížená",$N$131,0)</f>
        <v>0</v>
      </c>
      <c r="BG131" s="82">
        <f>IF($U$131="zákl. přenesená",$N$131,0)</f>
        <v>0</v>
      </c>
      <c r="BH131" s="82">
        <f>IF($U$131="sníž. přenesená",$N$131,0)</f>
        <v>0</v>
      </c>
      <c r="BI131" s="82">
        <f>IF($U$131="nulová",$N$131,0)</f>
        <v>0</v>
      </c>
      <c r="BJ131" s="6" t="s">
        <v>17</v>
      </c>
      <c r="BK131" s="82">
        <f>$L$131*$K$131</f>
        <v>0</v>
      </c>
    </row>
    <row r="132" spans="2:63" s="6" customFormat="1" ht="23.25" customHeight="1">
      <c r="B132" s="21"/>
      <c r="C132" s="131"/>
      <c r="D132" s="131" t="s">
        <v>148</v>
      </c>
      <c r="E132" s="132"/>
      <c r="F132" s="191"/>
      <c r="G132" s="192"/>
      <c r="H132" s="192"/>
      <c r="I132" s="192"/>
      <c r="J132" s="133"/>
      <c r="K132" s="130"/>
      <c r="L132" s="189"/>
      <c r="M132" s="188"/>
      <c r="N132" s="190">
        <f>$BK$132</f>
        <v>0</v>
      </c>
      <c r="O132" s="188"/>
      <c r="P132" s="188"/>
      <c r="Q132" s="188"/>
      <c r="R132" s="22"/>
      <c r="T132" s="127"/>
      <c r="U132" s="134" t="s">
        <v>39</v>
      </c>
      <c r="AA132" s="54"/>
      <c r="AT132" s="6" t="s">
        <v>161</v>
      </c>
      <c r="AU132" s="6" t="s">
        <v>17</v>
      </c>
      <c r="AY132" s="6" t="s">
        <v>161</v>
      </c>
      <c r="BE132" s="82">
        <f>IF($U$132="základní",$N$132,0)</f>
        <v>0</v>
      </c>
      <c r="BF132" s="82">
        <f>IF($U$132="snížená",$N$132,0)</f>
        <v>0</v>
      </c>
      <c r="BG132" s="82">
        <f>IF($U$132="zákl. přenesená",$N$132,0)</f>
        <v>0</v>
      </c>
      <c r="BH132" s="82">
        <f>IF($U$132="sníž. přenesená",$N$132,0)</f>
        <v>0</v>
      </c>
      <c r="BI132" s="82">
        <f>IF($U$132="nulová",$N$132,0)</f>
        <v>0</v>
      </c>
      <c r="BJ132" s="6" t="s">
        <v>17</v>
      </c>
      <c r="BK132" s="82">
        <f>$L$132*$K$132</f>
        <v>0</v>
      </c>
    </row>
    <row r="133" spans="2:63" s="6" customFormat="1" ht="23.25" customHeight="1">
      <c r="B133" s="21"/>
      <c r="C133" s="131"/>
      <c r="D133" s="131" t="s">
        <v>148</v>
      </c>
      <c r="E133" s="132"/>
      <c r="F133" s="191"/>
      <c r="G133" s="192"/>
      <c r="H133" s="192"/>
      <c r="I133" s="192"/>
      <c r="J133" s="133"/>
      <c r="K133" s="130"/>
      <c r="L133" s="189"/>
      <c r="M133" s="188"/>
      <c r="N133" s="190">
        <f>$BK$133</f>
        <v>0</v>
      </c>
      <c r="O133" s="188"/>
      <c r="P133" s="188"/>
      <c r="Q133" s="188"/>
      <c r="R133" s="22"/>
      <c r="T133" s="127"/>
      <c r="U133" s="134" t="s">
        <v>39</v>
      </c>
      <c r="AA133" s="54"/>
      <c r="AT133" s="6" t="s">
        <v>161</v>
      </c>
      <c r="AU133" s="6" t="s">
        <v>17</v>
      </c>
      <c r="AY133" s="6" t="s">
        <v>161</v>
      </c>
      <c r="BE133" s="82">
        <f>IF($U$133="základní",$N$133,0)</f>
        <v>0</v>
      </c>
      <c r="BF133" s="82">
        <f>IF($U$133="snížená",$N$133,0)</f>
        <v>0</v>
      </c>
      <c r="BG133" s="82">
        <f>IF($U$133="zákl. přenesená",$N$133,0)</f>
        <v>0</v>
      </c>
      <c r="BH133" s="82">
        <f>IF($U$133="sníž. přenesená",$N$133,0)</f>
        <v>0</v>
      </c>
      <c r="BI133" s="82">
        <f>IF($U$133="nulová",$N$133,0)</f>
        <v>0</v>
      </c>
      <c r="BJ133" s="6" t="s">
        <v>17</v>
      </c>
      <c r="BK133" s="82">
        <f>$L$133*$K$133</f>
        <v>0</v>
      </c>
    </row>
    <row r="134" spans="2:63" s="6" customFormat="1" ht="23.25" customHeight="1">
      <c r="B134" s="21"/>
      <c r="C134" s="131"/>
      <c r="D134" s="131" t="s">
        <v>148</v>
      </c>
      <c r="E134" s="132"/>
      <c r="F134" s="191"/>
      <c r="G134" s="192"/>
      <c r="H134" s="192"/>
      <c r="I134" s="192"/>
      <c r="J134" s="133"/>
      <c r="K134" s="130"/>
      <c r="L134" s="189"/>
      <c r="M134" s="188"/>
      <c r="N134" s="190">
        <f>$BK$134</f>
        <v>0</v>
      </c>
      <c r="O134" s="188"/>
      <c r="P134" s="188"/>
      <c r="Q134" s="188"/>
      <c r="R134" s="22"/>
      <c r="T134" s="127"/>
      <c r="U134" s="134" t="s">
        <v>39</v>
      </c>
      <c r="AA134" s="54"/>
      <c r="AT134" s="6" t="s">
        <v>161</v>
      </c>
      <c r="AU134" s="6" t="s">
        <v>17</v>
      </c>
      <c r="AY134" s="6" t="s">
        <v>161</v>
      </c>
      <c r="BE134" s="82">
        <f>IF($U$134="základní",$N$134,0)</f>
        <v>0</v>
      </c>
      <c r="BF134" s="82">
        <f>IF($U$134="snížená",$N$134,0)</f>
        <v>0</v>
      </c>
      <c r="BG134" s="82">
        <f>IF($U$134="zákl. přenesená",$N$134,0)</f>
        <v>0</v>
      </c>
      <c r="BH134" s="82">
        <f>IF($U$134="sníž. přenesená",$N$134,0)</f>
        <v>0</v>
      </c>
      <c r="BI134" s="82">
        <f>IF($U$134="nulová",$N$134,0)</f>
        <v>0</v>
      </c>
      <c r="BJ134" s="6" t="s">
        <v>17</v>
      </c>
      <c r="BK134" s="82">
        <f>$L$134*$K$134</f>
        <v>0</v>
      </c>
    </row>
    <row r="135" spans="2:63" s="6" customFormat="1" ht="23.25" customHeight="1">
      <c r="B135" s="21"/>
      <c r="C135" s="131"/>
      <c r="D135" s="131" t="s">
        <v>148</v>
      </c>
      <c r="E135" s="132"/>
      <c r="F135" s="191"/>
      <c r="G135" s="192"/>
      <c r="H135" s="192"/>
      <c r="I135" s="192"/>
      <c r="J135" s="133"/>
      <c r="K135" s="130"/>
      <c r="L135" s="189"/>
      <c r="M135" s="188"/>
      <c r="N135" s="190">
        <f>$BK$135</f>
        <v>0</v>
      </c>
      <c r="O135" s="188"/>
      <c r="P135" s="188"/>
      <c r="Q135" s="188"/>
      <c r="R135" s="22"/>
      <c r="T135" s="127"/>
      <c r="U135" s="134" t="s">
        <v>39</v>
      </c>
      <c r="V135" s="40"/>
      <c r="W135" s="40"/>
      <c r="X135" s="40"/>
      <c r="Y135" s="40"/>
      <c r="Z135" s="40"/>
      <c r="AA135" s="42"/>
      <c r="AT135" s="6" t="s">
        <v>161</v>
      </c>
      <c r="AU135" s="6" t="s">
        <v>17</v>
      </c>
      <c r="AY135" s="6" t="s">
        <v>161</v>
      </c>
      <c r="BE135" s="82">
        <f>IF($U$135="základní",$N$135,0)</f>
        <v>0</v>
      </c>
      <c r="BF135" s="82">
        <f>IF($U$135="snížená",$N$135,0)</f>
        <v>0</v>
      </c>
      <c r="BG135" s="82">
        <f>IF($U$135="zákl. přenesená",$N$135,0)</f>
        <v>0</v>
      </c>
      <c r="BH135" s="82">
        <f>IF($U$135="sníž. přenesená",$N$135,0)</f>
        <v>0</v>
      </c>
      <c r="BI135" s="82">
        <f>IF($U$135="nulová",$N$135,0)</f>
        <v>0</v>
      </c>
      <c r="BJ135" s="6" t="s">
        <v>17</v>
      </c>
      <c r="BK135" s="82">
        <f>$L$135*$K$135</f>
        <v>0</v>
      </c>
    </row>
    <row r="136" spans="2:18" s="6" customFormat="1" ht="7.5" customHeight="1"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5"/>
    </row>
    <row r="193" s="2" customFormat="1" ht="14.25" customHeight="1"/>
  </sheetData>
  <sheetProtection/>
  <mergeCells count="106">
    <mergeCell ref="S2:AC2"/>
    <mergeCell ref="N119:Q119"/>
    <mergeCell ref="N120:Q120"/>
    <mergeCell ref="N121:Q121"/>
    <mergeCell ref="N126:Q126"/>
    <mergeCell ref="N130:Q130"/>
    <mergeCell ref="H1:K1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1:I131"/>
    <mergeCell ref="L131:M131"/>
    <mergeCell ref="N131:Q131"/>
    <mergeCell ref="F127:I127"/>
    <mergeCell ref="L127:M127"/>
    <mergeCell ref="N127:Q127"/>
    <mergeCell ref="F128:I128"/>
    <mergeCell ref="L128:M128"/>
    <mergeCell ref="N128:Q128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11:P111"/>
    <mergeCell ref="M113:P113"/>
    <mergeCell ref="M115:Q115"/>
    <mergeCell ref="M116:Q116"/>
    <mergeCell ref="F118:I118"/>
    <mergeCell ref="L118:M118"/>
    <mergeCell ref="N118:Q118"/>
    <mergeCell ref="D99:H99"/>
    <mergeCell ref="N99:Q99"/>
    <mergeCell ref="N100:Q100"/>
    <mergeCell ref="L102:Q102"/>
    <mergeCell ref="C108:Q108"/>
    <mergeCell ref="F110:P110"/>
    <mergeCell ref="D96:H96"/>
    <mergeCell ref="N96:Q96"/>
    <mergeCell ref="D97:H97"/>
    <mergeCell ref="N97:Q97"/>
    <mergeCell ref="D98:H98"/>
    <mergeCell ref="N98:Q98"/>
    <mergeCell ref="N89:Q89"/>
    <mergeCell ref="N90:Q90"/>
    <mergeCell ref="N91:Q91"/>
    <mergeCell ref="N92:Q92"/>
    <mergeCell ref="N94:Q94"/>
    <mergeCell ref="D95:H95"/>
    <mergeCell ref="N95:Q95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31:D136">
      <formula1>"K,M"</formula1>
    </dataValidation>
    <dataValidation type="list" allowBlank="1" showInputMessage="1" showErrorMessage="1" error="Povoleny jsou hodnoty základní, snížená, zákl. přenesená, sníž. přenesená, nulová." sqref="U131:U13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</cp:lastModifiedBy>
  <dcterms:modified xsi:type="dcterms:W3CDTF">2013-05-30T08:31:06Z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