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15216" yWindow="72" windowWidth="15408" windowHeight="9360" tabRatio="875" firstSheet="10" activeTab="15"/>
  </bookViews>
  <sheets>
    <sheet name="Stavba" sheetId="1" r:id="rId1"/>
    <sheet name="r01K" sheetId="7" r:id="rId2"/>
    <sheet name="r01R" sheetId="8" r:id="rId3"/>
    <sheet name="r01P" sheetId="9" r:id="rId4"/>
    <sheet name="z01K" sheetId="10" r:id="rId5"/>
    <sheet name="z01R" sheetId="11" r:id="rId6"/>
    <sheet name="z01P" sheetId="12" r:id="rId7"/>
    <sheet name="p02K" sheetId="17" r:id="rId8"/>
    <sheet name="p02R" sheetId="16" r:id="rId9"/>
    <sheet name="p02P" sheetId="15" r:id="rId10"/>
    <sheet name="r03K" sheetId="18" r:id="rId11"/>
    <sheet name="r03R" sheetId="19" r:id="rId12"/>
    <sheet name="r03P" sheetId="20" r:id="rId13"/>
    <sheet name="r04 1K" sheetId="22" r:id="rId14"/>
    <sheet name="r04 1R" sheetId="23" r:id="rId15"/>
    <sheet name="r04 1P" sheetId="24" r:id="rId16"/>
    <sheet name="r04a" sheetId="28" r:id="rId17"/>
    <sheet name="r04c" sheetId="29" r:id="rId18"/>
    <sheet name="r04e" sheetId="27" r:id="rId19"/>
    <sheet name="r04g" sheetId="25" r:id="rId20"/>
    <sheet name="r04h" sheetId="26" r:id="rId21"/>
    <sheet name="z04 1K" sheetId="34" r:id="rId22"/>
    <sheet name="z04 1R" sheetId="36" r:id="rId23"/>
    <sheet name="z04 1P" sheetId="35" r:id="rId24"/>
    <sheet name="p04 a" sheetId="38" r:id="rId25"/>
    <sheet name="p04 c" sheetId="39" r:id="rId26"/>
    <sheet name="p04 e" sheetId="40" r:id="rId27"/>
    <sheet name="z04g" sheetId="41" r:id="rId28"/>
    <sheet name="z04h" sheetId="42" r:id="rId29"/>
    <sheet name="r05K" sheetId="47" r:id="rId30"/>
    <sheet name="r05R" sheetId="48" r:id="rId31"/>
    <sheet name="r05P" sheetId="49" r:id="rId32"/>
    <sheet name="z05K" sheetId="44" r:id="rId33"/>
    <sheet name="z05R" sheetId="45" r:id="rId34"/>
    <sheet name="z05P" sheetId="46" r:id="rId35"/>
    <sheet name="r06 1" sheetId="50" r:id="rId36"/>
    <sheet name="r06 3" sheetId="55" r:id="rId37"/>
    <sheet name="z06 2K" sheetId="52" r:id="rId38"/>
    <sheet name="z06 2R" sheetId="53" r:id="rId39"/>
    <sheet name="z06 2P" sheetId="54" r:id="rId40"/>
    <sheet name="p06 1" sheetId="51" r:id="rId41"/>
    <sheet name="p06 3" sheetId="57" r:id="rId42"/>
    <sheet name="r07" sheetId="58" r:id="rId43"/>
    <sheet name="r08" sheetId="60" r:id="rId44"/>
    <sheet name="p07,08" sheetId="61" r:id="rId45"/>
    <sheet name="r09" sheetId="62" r:id="rId46"/>
    <sheet name="z09 NN" sheetId="63" r:id="rId47"/>
    <sheet name="z09 pater" sheetId="64" r:id="rId48"/>
    <sheet name="z09 zahr" sheetId="65" r:id="rId49"/>
    <sheet name="r10" sheetId="66" r:id="rId50"/>
    <sheet name="z10" sheetId="67" r:id="rId51"/>
    <sheet name="r11aK" sheetId="68" r:id="rId52"/>
    <sheet name="r11aR" sheetId="69" r:id="rId53"/>
    <sheet name="r11aP" sheetId="70" r:id="rId54"/>
    <sheet name="z11aK" sheetId="72" r:id="rId55"/>
    <sheet name="z11aR" sheetId="73" r:id="rId56"/>
    <sheet name="z11aP" sheetId="74" r:id="rId57"/>
    <sheet name="r11bK" sheetId="75" r:id="rId58"/>
    <sheet name="r11bR" sheetId="76" r:id="rId59"/>
    <sheet name="r11bP" sheetId="77" r:id="rId60"/>
    <sheet name="z11bK" sheetId="78" r:id="rId61"/>
    <sheet name="z11bR" sheetId="79" r:id="rId62"/>
    <sheet name="z11bP" sheetId="80" r:id="rId63"/>
    <sheet name="r12" sheetId="81" r:id="rId64"/>
    <sheet name="p12" sheetId="82" r:id="rId65"/>
  </sheets>
  <externalReferences>
    <externalReference r:id="rId68"/>
    <externalReference r:id="rId69"/>
    <externalReference r:id="rId70"/>
  </externalReferences>
  <definedNames>
    <definedName name="_dph1" localSheetId="41">#REF!</definedName>
    <definedName name="_dph1">#REF!</definedName>
    <definedName name="_dph2" localSheetId="41">#REF!</definedName>
    <definedName name="_dph2">#REF!</definedName>
    <definedName name="_dph3" localSheetId="41">#REF!</definedName>
    <definedName name="_dph3">#REF!</definedName>
    <definedName name="_pol1" localSheetId="41">'z04h'!#REF!</definedName>
    <definedName name="_pol1">'z04h'!#REF!</definedName>
    <definedName name="_pol2" localSheetId="41">'z04h'!#REF!</definedName>
    <definedName name="_pol2">'z04h'!#REF!</definedName>
    <definedName name="_pol3" localSheetId="41">'z04h'!#REF!</definedName>
    <definedName name="_pol3">'z04h'!#REF!</definedName>
    <definedName name="AAA">'z04 1P'!$D$6</definedName>
    <definedName name="aaaaqwet">'z06 2K'!$G$6</definedName>
    <definedName name="acetcaewtra">'z11aR'!#REF!</definedName>
    <definedName name="acwsera">'z11aK'!$G$2</definedName>
    <definedName name="ačřaert">'z11bK'!$F$32</definedName>
    <definedName name="aertbasert">'z11bP'!#REF!</definedName>
    <definedName name="aertsgbert">'z11bK'!$G$5</definedName>
    <definedName name="aewrvae">'z11aP'!#REF!</definedName>
    <definedName name="ahjl">'z05K'!$G$6</definedName>
    <definedName name="APSP">'z04 1K'!$C$30</definedName>
    <definedName name="aqswd">'z05R'!$H$11</definedName>
    <definedName name="aqswdefr">'z05R'!$G$11</definedName>
    <definedName name="aqwsxedr">'z05K'!$C$30</definedName>
    <definedName name="ASD">'z04 1K'!$G$6</definedName>
    <definedName name="asdeertvaetr">'z11aK'!$C$7</definedName>
    <definedName name="asdenklnta" localSheetId="50">#REF!</definedName>
    <definedName name="ASDF" localSheetId="41">#REF!</definedName>
    <definedName name="ASDF">#REF!</definedName>
    <definedName name="asdfbg">'z11bK'!$C$32</definedName>
    <definedName name="asdfer">'z05R'!$I$11</definedName>
    <definedName name="ASDFG" localSheetId="41">#REF!</definedName>
    <definedName name="ASDFG">#REF!</definedName>
    <definedName name="asdfggbh">'z05K'!$C$8</definedName>
    <definedName name="ASDFGGR" localSheetId="41">#REF!</definedName>
    <definedName name="ASDFGGR">#REF!</definedName>
    <definedName name="asdfghjkj">'z05R'!$E$11</definedName>
    <definedName name="asdfgt">'z05R'!$F$11</definedName>
    <definedName name="asdfh">'z11aK'!$G$6</definedName>
    <definedName name="asdfvt">'z11aR'!$I$14</definedName>
    <definedName name="asdfw">'z11bR'!$H$28</definedName>
    <definedName name="asdgtz" localSheetId="50">#REF!</definedName>
    <definedName name="asdhjk" localSheetId="49">#REF!</definedName>
    <definedName name="asdnckjnlkt" localSheetId="50">#REF!</definedName>
    <definedName name="asdpo" localSheetId="50">#REF!</definedName>
    <definedName name="asdsfbagdyx">'z11aR'!$H$14</definedName>
    <definedName name="asepozt" localSheetId="50">#REF!</definedName>
    <definedName name="aserdva">'z11aK'!$C$32</definedName>
    <definedName name="ASFDSADFA">'z04 1R'!$I$30</definedName>
    <definedName name="ASFGT">'z04 1K'!$G$11</definedName>
    <definedName name="asg" localSheetId="41">#REF!</definedName>
    <definedName name="asg">#REF!</definedName>
    <definedName name="askktha" localSheetId="49">#REF!</definedName>
    <definedName name="asktnlonoynl" localSheetId="49">#REF!</definedName>
    <definedName name="astaertgb">'z11bR'!$F$15</definedName>
    <definedName name="aswercas">'z11aP'!#REF!</definedName>
    <definedName name="awečřaqr">'z11bR'!#REF!</definedName>
    <definedName name="awerbsdertg">'z11aR'!$A$6</definedName>
    <definedName name="awertvaser">'z11aK'!$C$10</definedName>
    <definedName name="awervacetva">'z11aP'!#REF!</definedName>
    <definedName name="awervasdergfva">'z11bK'!$G$6</definedName>
    <definedName name="awervawefa">'z11bR'!$G$15</definedName>
    <definedName name="áýnái">'z11bK'!$F$30</definedName>
    <definedName name="aysxwed">'z05P'!$C$6</definedName>
    <definedName name="ayxsedc">'z05R'!$H$24</definedName>
    <definedName name="ayxswe">'z05P'!$G$6</definedName>
    <definedName name="bgtfr">'z05P'!$D$6</definedName>
    <definedName name="bgtrv">'z05P'!$E$6</definedName>
    <definedName name="caertbgsdgt">'z11bK'!$B$27</definedName>
    <definedName name="caewtabert">'z11bK'!$C$5</definedName>
    <definedName name="CelkemObjekty" localSheetId="0">'Stavba'!#REF!</definedName>
    <definedName name="certsedrtga">'z11bK'!$A$7</definedName>
    <definedName name="cisloobjektu" localSheetId="7">'p02K'!$A$5</definedName>
    <definedName name="cisloobjektu" localSheetId="9">'[2]Krycí list'!$A$5</definedName>
    <definedName name="cisloobjektu" localSheetId="8">'[2]Krycí list'!$A$5</definedName>
    <definedName name="cisloobjektu" localSheetId="22">'[1]Krycí list'!$A$5</definedName>
    <definedName name="cisloobjektu">'z01K'!$A$5</definedName>
    <definedName name="cislostavby" localSheetId="7">'p02K'!$A$7</definedName>
    <definedName name="cislostavby" localSheetId="9">'[2]Krycí list'!$A$7</definedName>
    <definedName name="cislostavby" localSheetId="8">'[2]Krycí list'!$A$7</definedName>
    <definedName name="CisloStavby" localSheetId="0">'Stavba'!$D$5</definedName>
    <definedName name="cislostavby" localSheetId="22">'[1]Krycí list'!$A$7</definedName>
    <definedName name="cislostavby">'z01K'!$A$7</definedName>
    <definedName name="dadresa" localSheetId="0">'Stavba'!$D$8</definedName>
    <definedName name="Datum" localSheetId="7">'p02K'!$B$27</definedName>
    <definedName name="Datum">'z01K'!$B$27</definedName>
    <definedName name="DDD">'z04 1P'!$F$6</definedName>
    <definedName name="DDDD" localSheetId="41">#REF!</definedName>
    <definedName name="DDDD">#REF!</definedName>
    <definedName name="DFG">'[1]Rekapitulace'!$E$30</definedName>
    <definedName name="DGA">'[1]Rekapitulace'!$F$30</definedName>
    <definedName name="DIČ" localSheetId="0">'Stavba'!#REF!</definedName>
    <definedName name="Dil" localSheetId="8">'p02R'!$A$6</definedName>
    <definedName name="Dil">'z01R'!$A$6</definedName>
    <definedName name="dmisto" localSheetId="0">'Stavba'!$D$9</definedName>
    <definedName name="Dodavka" localSheetId="7">'[2]Rekapitulace'!$G$8</definedName>
    <definedName name="Dodavka" localSheetId="9">'[2]Rekapitulace'!$G$8</definedName>
    <definedName name="Dodavka" localSheetId="8">'p02R'!$G$8</definedName>
    <definedName name="Dodavka" localSheetId="22">'z04 1R'!$G$30</definedName>
    <definedName name="Dodavka">'z01R'!$G$15</definedName>
    <definedName name="Dodavka0" localSheetId="7">#REF!</definedName>
    <definedName name="Dodavka0" localSheetId="9">'p02P'!#REF!</definedName>
    <definedName name="Dodavka0" localSheetId="8">#REF!</definedName>
    <definedName name="Dodavka0" localSheetId="41">'z01P'!#REF!</definedName>
    <definedName name="Dodavka0">'z01P'!#REF!</definedName>
    <definedName name="dpsc" localSheetId="0">'Stavba'!$C$9</definedName>
    <definedName name="EEEEE" localSheetId="41">#REF!</definedName>
    <definedName name="EEEEE">#REF!</definedName>
    <definedName name="ertvwsert">'z11aK'!$G$11</definedName>
    <definedName name="etvaetrva">'z11bK'!$A$5</definedName>
    <definedName name="FF">'z04 1P'!$B$6</definedName>
    <definedName name="FFFF">'z04 1K'!$C$5</definedName>
    <definedName name="FFFFFF" localSheetId="41">#REF!</definedName>
    <definedName name="FFFFFF">#REF!</definedName>
    <definedName name="FG">'[1]Rekapitulace'!$G$30</definedName>
    <definedName name="footer" localSheetId="41">#REF!</definedName>
    <definedName name="footer" localSheetId="49">#REF!</definedName>
    <definedName name="footer" localSheetId="50">#REF!</definedName>
    <definedName name="footer">#REF!</definedName>
    <definedName name="footer2" localSheetId="41">'z04h'!#REF!</definedName>
    <definedName name="footer2" localSheetId="49">#REF!</definedName>
    <definedName name="footer2" localSheetId="50">#REF!</definedName>
    <definedName name="footer2">'z04h'!#REF!</definedName>
    <definedName name="GGGGG">'z04 1K'!$B$37</definedName>
    <definedName name="head1" localSheetId="41">#REF!</definedName>
    <definedName name="head1" localSheetId="49">#REF!</definedName>
    <definedName name="head1" localSheetId="50">#REF!</definedName>
    <definedName name="head1">#REF!</definedName>
    <definedName name="Header" localSheetId="41">#REF!</definedName>
    <definedName name="Header" localSheetId="49">#REF!</definedName>
    <definedName name="Header" localSheetId="50">#REF!</definedName>
    <definedName name="Header">#REF!</definedName>
    <definedName name="Header2" localSheetId="41">'z04h'!#REF!</definedName>
    <definedName name="Header2" localSheetId="49">#REF!</definedName>
    <definedName name="Header2" localSheetId="50">#REF!</definedName>
    <definedName name="Header2">'z04h'!#REF!</definedName>
    <definedName name="hhhh">'z05K'!$G$11</definedName>
    <definedName name="HJK">'z04 1R'!$A$6</definedName>
    <definedName name="hjkihjnhj">'z11aP'!$A$6</definedName>
    <definedName name="HJKKL">'z04 1P'!$E$6</definedName>
    <definedName name="HJKL" localSheetId="41">#REF!</definedName>
    <definedName name="HJKL">#REF!</definedName>
    <definedName name="Hlava1" localSheetId="41">#REF!</definedName>
    <definedName name="Hlava1" localSheetId="49">#REF!</definedName>
    <definedName name="Hlava1" localSheetId="50">#REF!</definedName>
    <definedName name="Hlava1">#REF!</definedName>
    <definedName name="Hlava2" localSheetId="41">#REF!</definedName>
    <definedName name="Hlava2" localSheetId="49">#REF!</definedName>
    <definedName name="Hlava2" localSheetId="50">#REF!</definedName>
    <definedName name="Hlava2">#REF!</definedName>
    <definedName name="Hlava3" localSheetId="41">#REF!</definedName>
    <definedName name="Hlava3" localSheetId="49">#REF!</definedName>
    <definedName name="Hlava3" localSheetId="50">#REF!</definedName>
    <definedName name="Hlava3">#REF!</definedName>
    <definedName name="Hlava4" localSheetId="41">#REF!</definedName>
    <definedName name="Hlava4" localSheetId="49">#REF!</definedName>
    <definedName name="Hlava4" localSheetId="50">#REF!</definedName>
    <definedName name="Hlava4">#REF!</definedName>
    <definedName name="hnjkiokl">'z05K'!$G$2</definedName>
    <definedName name="hnmji">'z05K'!$A$5</definedName>
    <definedName name="hnz">'z05K'!$A$7</definedName>
    <definedName name="hnzuji">'z05R'!$A$6</definedName>
    <definedName name="HSV" localSheetId="7">'[2]Rekapitulace'!$E$8</definedName>
    <definedName name="HSV" localSheetId="9">'[2]Rekapitulace'!$E$8</definedName>
    <definedName name="HSV" localSheetId="8">'p02R'!$E$8</definedName>
    <definedName name="HSV" localSheetId="22">'z04 1R'!$E$30</definedName>
    <definedName name="HSV">'z01R'!$E$15</definedName>
    <definedName name="HSV0" localSheetId="7">#REF!</definedName>
    <definedName name="HSV0" localSheetId="9">'p02P'!#REF!</definedName>
    <definedName name="HSV0" localSheetId="8">#REF!</definedName>
    <definedName name="HSV0" localSheetId="41">'z01P'!#REF!</definedName>
    <definedName name="HSV0">'z01P'!#REF!</definedName>
    <definedName name="huk">'z05K'!$C$7</definedName>
    <definedName name="hzhnujik" localSheetId="41">'z05P'!#REF!</definedName>
    <definedName name="hzhnujik">'z05P'!#REF!</definedName>
    <definedName name="HZS" localSheetId="7">'[2]Rekapitulace'!$I$8</definedName>
    <definedName name="HZS" localSheetId="9">'[2]Rekapitulace'!$I$8</definedName>
    <definedName name="HZS" localSheetId="8">'p02R'!$I$8</definedName>
    <definedName name="HZS">'z01R'!$I$15</definedName>
    <definedName name="HZS0" localSheetId="7">#REF!</definedName>
    <definedName name="HZS0" localSheetId="9">'p02P'!#REF!</definedName>
    <definedName name="HZS0" localSheetId="8">#REF!</definedName>
    <definedName name="HZS0" localSheetId="41">'z01P'!#REF!</definedName>
    <definedName name="HZS0">'z01P'!#REF!</definedName>
    <definedName name="IČO" localSheetId="0">'Stavba'!#REF!</definedName>
    <definedName name="iii">'z05K'!$C$11:$E$11</definedName>
    <definedName name="iiuuzz">'z11aP'!$C$6</definedName>
    <definedName name="im" localSheetId="41">'z05R'!#REF!</definedName>
    <definedName name="im">'z05R'!#REF!</definedName>
    <definedName name="iuouilujzik">'z11bK'!$G$2</definedName>
    <definedName name="jjj" localSheetId="41">'z05R'!#REF!</definedName>
    <definedName name="jjj">'z05R'!#REF!</definedName>
    <definedName name="JJJJ">'z04 1K'!$G$2</definedName>
    <definedName name="JKSO" localSheetId="7">'p02K'!$G$2</definedName>
    <definedName name="JKSO">'z01K'!$G$2</definedName>
    <definedName name="kiolp" localSheetId="41">'z05P'!#REF!</definedName>
    <definedName name="kiolp">'z05P'!#REF!</definedName>
    <definedName name="kjh">'z11aP'!$D$6</definedName>
    <definedName name="LHJ">'[1]Rekapitulace'!$H$43</definedName>
    <definedName name="lkhhh">'z11aP'!$B$6</definedName>
    <definedName name="lkjhh">'z11aP'!$E$6</definedName>
    <definedName name="LKJJ" localSheetId="41">#REF!</definedName>
    <definedName name="LKJJ">#REF!</definedName>
    <definedName name="LL">'z04 1P'!$G$6</definedName>
    <definedName name="lll">'z05K'!$F$30</definedName>
    <definedName name="LLLL">'z04 1K'!$A$5</definedName>
    <definedName name="LLLLL">'z04 1K'!$B$27</definedName>
    <definedName name="miumuiol">'z11aP'!#REF!</definedName>
    <definedName name="MJ" localSheetId="7">'p02K'!$G$5</definedName>
    <definedName name="MJ">'z01K'!$G$5</definedName>
    <definedName name="mnnhzhj">'z11aP'!$F$6</definedName>
    <definedName name="Mont" localSheetId="7">'[2]Rekapitulace'!$H$8</definedName>
    <definedName name="Mont" localSheetId="9">'[2]Rekapitulace'!$H$8</definedName>
    <definedName name="Mont" localSheetId="8">'p02R'!$H$8</definedName>
    <definedName name="Mont" localSheetId="22">'z04 1R'!$H$30</definedName>
    <definedName name="Mont">'z01R'!$H$15</definedName>
    <definedName name="Montaz0" localSheetId="7">#REF!</definedName>
    <definedName name="Montaz0" localSheetId="9">'p02P'!#REF!</definedName>
    <definedName name="Montaz0" localSheetId="8">#REF!</definedName>
    <definedName name="Montaz0" localSheetId="41">'z01P'!#REF!</definedName>
    <definedName name="Montaz0">'z01P'!#REF!</definedName>
    <definedName name="NazevDilu" localSheetId="8">'p02R'!$B$6</definedName>
    <definedName name="NazevDilu">'z01R'!$B$6</definedName>
    <definedName name="nazevobjektu" localSheetId="7">'p02K'!$C$5</definedName>
    <definedName name="nazevobjektu" localSheetId="9">'[2]Krycí list'!$C$5</definedName>
    <definedName name="nazevobjektu" localSheetId="8">'[2]Krycí list'!$C$5</definedName>
    <definedName name="NazevObjektu" localSheetId="0">'Stavba'!$C$33</definedName>
    <definedName name="nazevobjektu" localSheetId="22">'[1]Krycí list'!$C$5</definedName>
    <definedName name="nazevobjektu">'z01K'!$C$5</definedName>
    <definedName name="nazevstavby" localSheetId="7">'p02K'!$C$7</definedName>
    <definedName name="nazevstavby" localSheetId="9">'[2]Krycí list'!$C$7</definedName>
    <definedName name="nazevstavby" localSheetId="8">'[2]Krycí list'!$C$7</definedName>
    <definedName name="NazevStavby" localSheetId="0">'Stavba'!$E$5</definedName>
    <definedName name="nazevstavby" localSheetId="22">'[1]Krycí list'!$C$7</definedName>
    <definedName name="nazevstavby">'z01K'!$C$7</definedName>
    <definedName name="nhzuji" localSheetId="41">'z05P'!#REF!</definedName>
    <definedName name="nhzuji">'z05P'!#REF!</definedName>
    <definedName name="nmjiou">'z05K'!$C$5</definedName>
    <definedName name="nmmki">'z05K'!$B$27</definedName>
    <definedName name="nnn">'z05K'!$F$32</definedName>
    <definedName name="nzhujikol">'z05K'!$G$5</definedName>
    <definedName name="nznjzukjnzj">'z11bK'!$C$8</definedName>
    <definedName name="nzuilozui">'z11aK'!$A$7</definedName>
    <definedName name="Objednatel" localSheetId="7">'p02K'!$C$10</definedName>
    <definedName name="Objednatel" localSheetId="0">'Stavba'!$D$11</definedName>
    <definedName name="Objednatel">'z01K'!$C$10</definedName>
    <definedName name="Objekt" localSheetId="0">'Stavba'!$B$33</definedName>
    <definedName name="_xlnm.Print_Area" localSheetId="7">'p02K'!$A$1:$G$45</definedName>
    <definedName name="_xlnm.Print_Area" localSheetId="9">'p02P'!$A$1:$G$21</definedName>
    <definedName name="_xlnm.Print_Area" localSheetId="8">'p02R'!$A$1:$I$22</definedName>
    <definedName name="_xlnm.Print_Area" localSheetId="24">'p04 a'!$A:$F</definedName>
    <definedName name="_xlnm.Print_Area" localSheetId="25">'p04 c'!$A$1:$E$116</definedName>
    <definedName name="_xlnm.Print_Area" localSheetId="26">'p04 e'!$A:$F</definedName>
    <definedName name="_xlnm.Print_Area" localSheetId="40">'p06 1'!$A$1:$G$45</definedName>
    <definedName name="_xlnm.Print_Area" localSheetId="41">'p06 3'!$A$1:$G$47</definedName>
    <definedName name="_xlnm.Print_Area" localSheetId="44">'p07,08'!$A$1:$F$65538</definedName>
    <definedName name="_xlnm.Print_Area" localSheetId="64">'p12'!$A$1:$H$139</definedName>
    <definedName name="_xlnm.Print_Area" localSheetId="1">'r01K'!$A$1:$G$45</definedName>
    <definedName name="_xlnm.Print_Area" localSheetId="3">'r01P'!$A$1:$K$100</definedName>
    <definedName name="_xlnm.Print_Area" localSheetId="2">'r01R'!$A$1:$I$33</definedName>
    <definedName name="_xlnm.Print_Area" localSheetId="10">'r03K'!$A$1:$G$45</definedName>
    <definedName name="_xlnm.Print_Area" localSheetId="12">'r03P'!$A$1:$K$23</definedName>
    <definedName name="_xlnm.Print_Area" localSheetId="11">'r03R'!$A$1:$I$24</definedName>
    <definedName name="_xlnm.Print_Area" localSheetId="13">'r04 1K'!$A$1:$G$45</definedName>
    <definedName name="_xlnm.Print_Area" localSheetId="15">'r04 1P'!$A$1:$I$526</definedName>
    <definedName name="_xlnm.Print_Area" localSheetId="14">'r04 1R'!$A$1:$I$55</definedName>
    <definedName name="_xlnm.Print_Area" localSheetId="18">'r04e'!$A$1:$F$73</definedName>
    <definedName name="_xlnm.Print_Area" localSheetId="29">'r05K'!$A$1:$G$45</definedName>
    <definedName name="_xlnm.Print_Area" localSheetId="31">'r05P'!$A$1:$K$33</definedName>
    <definedName name="_xlnm.Print_Area" localSheetId="30">'r05R'!$A$1:$I$25</definedName>
    <definedName name="_xlnm.Print_Area" localSheetId="35">'r06 1'!$A$1:$G$51</definedName>
    <definedName name="_xlnm.Print_Area" localSheetId="36">'r06 3'!$A$1:$G$56</definedName>
    <definedName name="_xlnm.Print_Area" localSheetId="42">'r07'!$A$1:$F$65536</definedName>
    <definedName name="_xlnm.Print_Area" localSheetId="43">'r08'!$A$1:$F$65536</definedName>
    <definedName name="_xlnm.Print_Area" localSheetId="49">'r10'!$A$1:$G$94</definedName>
    <definedName name="_xlnm.Print_Area" localSheetId="51">'r11aK'!$A$1:$G$45</definedName>
    <definedName name="_xlnm.Print_Area" localSheetId="53">'r11aP'!$A$1:$K$194</definedName>
    <definedName name="_xlnm.Print_Area" localSheetId="52">'r11aR'!$A$1:$I$39</definedName>
    <definedName name="_xlnm.Print_Area" localSheetId="57">'r11bK'!$A$1:$G$45</definedName>
    <definedName name="_xlnm.Print_Area" localSheetId="59">'r11bP'!$A$1:$K$166</definedName>
    <definedName name="_xlnm.Print_Area" localSheetId="58">'r11bR'!$A$1:$I$36</definedName>
    <definedName name="_xlnm.Print_Area" localSheetId="63">'r12'!$A$1:$F$117</definedName>
    <definedName name="_xlnm.Print_Area" localSheetId="0">'Stavba'!$B$1:$H$102</definedName>
    <definedName name="_xlnm.Print_Area" localSheetId="4">'z01K'!$A$1:$G$45</definedName>
    <definedName name="_xlnm.Print_Area" localSheetId="6">'z01P'!$A$1:$G$90</definedName>
    <definedName name="_xlnm.Print_Area" localSheetId="5">'z01R'!$A$1:$I$29</definedName>
    <definedName name="_xlnm.Print_Area" localSheetId="21">'z04 1K'!$A$1:$G$45</definedName>
    <definedName name="_xlnm.Print_Area" localSheetId="23">'z04 1P'!$A$1:$G$562</definedName>
    <definedName name="_xlnm.Print_Area" localSheetId="22">'z04 1R'!$A$1:$I$44</definedName>
    <definedName name="_xlnm.Print_Area" localSheetId="28">'z04h'!$A$1:$J$41</definedName>
    <definedName name="_xlnm.Print_Area" localSheetId="32">'z05K'!$A$1:$G$45</definedName>
    <definedName name="_xlnm.Print_Area" localSheetId="34">'z05P'!$A$1:$G$34</definedName>
    <definedName name="_xlnm.Print_Area" localSheetId="33">'z05R'!$A$1:$I$25</definedName>
    <definedName name="_xlnm.Print_Area" localSheetId="37">'z06 2K'!$A$1:$G$45</definedName>
    <definedName name="_xlnm.Print_Area" localSheetId="39">'z06 2P'!$A$1:$G$41</definedName>
    <definedName name="_xlnm.Print_Area" localSheetId="38">'z06 2R'!$A$1:$I$24</definedName>
    <definedName name="_xlnm.Print_Area" localSheetId="50">'z10'!$A$1:$J$81</definedName>
    <definedName name="_xlnm.Print_Area" localSheetId="54">'z11aK'!$A$1:$G$45</definedName>
    <definedName name="_xlnm.Print_Area" localSheetId="56">'z11aP'!$A$1:$G$86</definedName>
    <definedName name="_xlnm.Print_Area" localSheetId="55">'z11aR'!$A$1:$I$28</definedName>
    <definedName name="_xlnm.Print_Area" localSheetId="60">'z11bK'!$A$1:$G$45</definedName>
    <definedName name="_xlnm.Print_Area" localSheetId="62">'z11bP'!$A$1:$G$64</definedName>
    <definedName name="_xlnm.Print_Area" localSheetId="61">'z11bR'!$A$1:$I$29</definedName>
    <definedName name="odic" localSheetId="0">'Stavba'!#REF!</definedName>
    <definedName name="oico" localSheetId="0">'Stavba'!#REF!</definedName>
    <definedName name="oliki">'z05R'!$B$6</definedName>
    <definedName name="omisto" localSheetId="0">'Stavba'!$D$13</definedName>
    <definedName name="onazev" localSheetId="0">'Stavba'!$D$12</definedName>
    <definedName name="opsc" localSheetId="0">'Stavba'!$C$13</definedName>
    <definedName name="pastkůy" localSheetId="49">#REF!</definedName>
    <definedName name="PocetMJ" localSheetId="7">'p02K'!$G$6</definedName>
    <definedName name="PocetMJ" localSheetId="9">'[2]Krycí list'!$G$6</definedName>
    <definedName name="PocetMJ" localSheetId="8">'[2]Krycí list'!$G$6</definedName>
    <definedName name="PocetMJ">'z01K'!$G$6</definedName>
    <definedName name="poiku">'z05K'!$C$10</definedName>
    <definedName name="poiutr">'z11bK'!$C$30</definedName>
    <definedName name="poiuz">'z11aP'!$G$6</definedName>
    <definedName name="polbezcen1" localSheetId="41">'z04h'!#REF!</definedName>
    <definedName name="polbezcen1" localSheetId="49">#REF!</definedName>
    <definedName name="polbezcen1" localSheetId="50">#REF!</definedName>
    <definedName name="polbezcen1">'z04h'!#REF!</definedName>
    <definedName name="polcen2" localSheetId="41">'z04h'!#REF!</definedName>
    <definedName name="polcen2" localSheetId="49">#REF!</definedName>
    <definedName name="polcen2" localSheetId="50">#REF!</definedName>
    <definedName name="polcen2">'z04h'!#REF!</definedName>
    <definedName name="polcen3" localSheetId="41">'z04h'!#REF!</definedName>
    <definedName name="polcen3" localSheetId="49">#REF!</definedName>
    <definedName name="polcen3" localSheetId="50">#REF!</definedName>
    <definedName name="polcen3">'z04h'!#REF!</definedName>
    <definedName name="Poznamka" localSheetId="7">'p02K'!$B$37</definedName>
    <definedName name="Poznamka" localSheetId="49">#REF!</definedName>
    <definedName name="Poznamka" localSheetId="28">#REF!</definedName>
    <definedName name="Poznamka" localSheetId="50">#REF!</definedName>
    <definedName name="Poznamka">'z01K'!$B$37</definedName>
    <definedName name="_xlnm.Print_Area">#REF!</definedName>
    <definedName name="Projektant" localSheetId="7">'p02K'!$C$8</definedName>
    <definedName name="Projektant" localSheetId="9">'[2]Krycí list'!$C$8</definedName>
    <definedName name="Projektant" localSheetId="8">'[2]Krycí list'!$C$8</definedName>
    <definedName name="Projektant">'z01K'!$C$8</definedName>
    <definedName name="PSV" localSheetId="7">'[2]Rekapitulace'!$F$8</definedName>
    <definedName name="PSV" localSheetId="9">'[2]Rekapitulace'!$F$8</definedName>
    <definedName name="PSV" localSheetId="8">'p02R'!$F$8</definedName>
    <definedName name="PSV" localSheetId="22">'z04 1R'!$F$30</definedName>
    <definedName name="PSV">'z01R'!$F$15</definedName>
    <definedName name="PSV0" localSheetId="7">#REF!</definedName>
    <definedName name="PSV0" localSheetId="9">'p02P'!#REF!</definedName>
    <definedName name="PSV0" localSheetId="8">#REF!</definedName>
    <definedName name="PSV0" localSheetId="41">'z01P'!#REF!</definedName>
    <definedName name="PSV0">'z01P'!#REF!</definedName>
    <definedName name="qaswsd" localSheetId="41">'z05P'!#REF!</definedName>
    <definedName name="qaswsd">'z05P'!#REF!</definedName>
    <definedName name="qervqertvase">'z11aK'!$C$5</definedName>
    <definedName name="qščera">'z11bR'!$B$6</definedName>
    <definedName name="qščřqawercawe">'z11bR'!#REF!</definedName>
    <definedName name="qščžawertv">'z11bR'!#REF!</definedName>
    <definedName name="QWERT">'z04 1P'!$A$6</definedName>
    <definedName name="qwxqvsdavf">'z11bR'!$I$15</definedName>
    <definedName name="RAREAREY" localSheetId="41">#REF!</definedName>
    <definedName name="RAREAREY">#REF!</definedName>
    <definedName name="rftg">'z05K'!$B$37</definedName>
    <definedName name="saertbgsret">'z11bK'!$C$10</definedName>
    <definedName name="saertbwertbter">'z11bP'!#REF!</definedName>
    <definedName name="SazbaDPH1" localSheetId="7">'p02K'!$C$30</definedName>
    <definedName name="SazbaDPH1" localSheetId="9">'[2]Krycí list'!$C$30</definedName>
    <definedName name="SazbaDPH1" localSheetId="8">'[2]Krycí list'!$C$30</definedName>
    <definedName name="SazbaDPH1" localSheetId="0">'Stavba'!$D$19</definedName>
    <definedName name="SazbaDPH1">'z01K'!$C$30</definedName>
    <definedName name="SazbaDPH2" localSheetId="7">'p02K'!$C$32</definedName>
    <definedName name="SazbaDPH2" localSheetId="9">'[2]Krycí list'!$C$32</definedName>
    <definedName name="SazbaDPH2" localSheetId="8">'[2]Krycí list'!$C$32</definedName>
    <definedName name="SazbaDPH2" localSheetId="0">'Stavba'!$D$20</definedName>
    <definedName name="SazbaDPH2">'z01K'!$C$32</definedName>
    <definedName name="sdfba">'z11aP'!#REF!</definedName>
    <definedName name="SDFF">'z04 1P'!$C$6</definedName>
    <definedName name="sdfg">'z11aK'!$C$8</definedName>
    <definedName name="sgas" localSheetId="41">#REF!</definedName>
    <definedName name="sgas">#REF!</definedName>
    <definedName name="shjktjhk" localSheetId="49">#REF!</definedName>
    <definedName name="SloupecCC" localSheetId="9">'p02P'!$G$6</definedName>
    <definedName name="SloupecCC">'z01P'!$G$6</definedName>
    <definedName name="SloupecCisloPol" localSheetId="9">'p02P'!$B$6</definedName>
    <definedName name="SloupecCisloPol">'z01P'!$B$6</definedName>
    <definedName name="SloupecJC" localSheetId="9">'p02P'!$F$6</definedName>
    <definedName name="SloupecJC">'z01P'!$F$6</definedName>
    <definedName name="SloupecMJ" localSheetId="9">'p02P'!$D$6</definedName>
    <definedName name="SloupecMJ">'z01P'!$D$6</definedName>
    <definedName name="SloupecMnozstvi" localSheetId="9">'p02P'!$E$6</definedName>
    <definedName name="SloupecMnozstvi">'z01P'!$E$6</definedName>
    <definedName name="SloupecNazPol" localSheetId="9">'p02P'!$C$6</definedName>
    <definedName name="SloupecNazPol">'z01P'!$C$6</definedName>
    <definedName name="SloupecPC" localSheetId="9">'p02P'!$A$6</definedName>
    <definedName name="SloupecPC">'z01P'!$A$6</definedName>
    <definedName name="solver_lin" localSheetId="9" hidden="1">0</definedName>
    <definedName name="solver_lin" localSheetId="3" hidden="1">0</definedName>
    <definedName name="solver_lin" localSheetId="12" hidden="1">0</definedName>
    <definedName name="solver_lin" localSheetId="15" hidden="1">0</definedName>
    <definedName name="solver_lin" localSheetId="31" hidden="1">0</definedName>
    <definedName name="solver_lin" localSheetId="53" hidden="1">0</definedName>
    <definedName name="solver_lin" localSheetId="59" hidden="1">0</definedName>
    <definedName name="solver_lin" localSheetId="6" hidden="1">0</definedName>
    <definedName name="solver_lin" localSheetId="23" hidden="1">0</definedName>
    <definedName name="solver_lin" localSheetId="34" hidden="1">0</definedName>
    <definedName name="solver_lin" localSheetId="39" hidden="1">0</definedName>
    <definedName name="solver_lin" localSheetId="56" hidden="1">0</definedName>
    <definedName name="solver_lin" localSheetId="62" hidden="1">0</definedName>
    <definedName name="solver_num" localSheetId="9" hidden="1">0</definedName>
    <definedName name="solver_num" localSheetId="3" hidden="1">0</definedName>
    <definedName name="solver_num" localSheetId="12" hidden="1">0</definedName>
    <definedName name="solver_num" localSheetId="15" hidden="1">0</definedName>
    <definedName name="solver_num" localSheetId="31" hidden="1">0</definedName>
    <definedName name="solver_num" localSheetId="53" hidden="1">0</definedName>
    <definedName name="solver_num" localSheetId="59" hidden="1">0</definedName>
    <definedName name="solver_num" localSheetId="6" hidden="1">0</definedName>
    <definedName name="solver_num" localSheetId="23" hidden="1">0</definedName>
    <definedName name="solver_num" localSheetId="34" hidden="1">0</definedName>
    <definedName name="solver_num" localSheetId="39" hidden="1">0</definedName>
    <definedName name="solver_num" localSheetId="56" hidden="1">0</definedName>
    <definedName name="solver_num" localSheetId="62" hidden="1">0</definedName>
    <definedName name="solver_opt" localSheetId="9" hidden="1">'p02P'!#REF!</definedName>
    <definedName name="solver_opt" localSheetId="3" hidden="1">#REF!</definedName>
    <definedName name="solver_opt" localSheetId="12" hidden="1">#REF!</definedName>
    <definedName name="solver_opt" localSheetId="15" hidden="1">#REF!</definedName>
    <definedName name="solver_opt" localSheetId="31" hidden="1">#REF!</definedName>
    <definedName name="solver_opt" localSheetId="53" hidden="1">#REF!</definedName>
    <definedName name="solver_opt" localSheetId="59" hidden="1">#REF!</definedName>
    <definedName name="solver_opt" localSheetId="6" hidden="1">'z01P'!#REF!</definedName>
    <definedName name="solver_opt" localSheetId="23" hidden="1">#REF!</definedName>
    <definedName name="solver_opt" localSheetId="34" hidden="1">'z05P'!#REF!</definedName>
    <definedName name="solver_opt" localSheetId="39" hidden="1">#REF!</definedName>
    <definedName name="solver_opt" localSheetId="56" hidden="1">'z11aP'!#REF!</definedName>
    <definedName name="solver_opt" localSheetId="62" hidden="1">'z11bP'!#REF!</definedName>
    <definedName name="solver_typ" localSheetId="9" hidden="1">1</definedName>
    <definedName name="solver_typ" localSheetId="3" hidden="1">1</definedName>
    <definedName name="solver_typ" localSheetId="12" hidden="1">1</definedName>
    <definedName name="solver_typ" localSheetId="15" hidden="1">1</definedName>
    <definedName name="solver_typ" localSheetId="31" hidden="1">1</definedName>
    <definedName name="solver_typ" localSheetId="53" hidden="1">1</definedName>
    <definedName name="solver_typ" localSheetId="59" hidden="1">1</definedName>
    <definedName name="solver_typ" localSheetId="6" hidden="1">1</definedName>
    <definedName name="solver_typ" localSheetId="23" hidden="1">1</definedName>
    <definedName name="solver_typ" localSheetId="34" hidden="1">1</definedName>
    <definedName name="solver_typ" localSheetId="39" hidden="1">1</definedName>
    <definedName name="solver_typ" localSheetId="56" hidden="1">1</definedName>
    <definedName name="solver_typ" localSheetId="62" hidden="1">1</definedName>
    <definedName name="solver_val" localSheetId="9" hidden="1">0</definedName>
    <definedName name="solver_val" localSheetId="3" hidden="1">0</definedName>
    <definedName name="solver_val" localSheetId="12" hidden="1">0</definedName>
    <definedName name="solver_val" localSheetId="15" hidden="1">0</definedName>
    <definedName name="solver_val" localSheetId="31" hidden="1">0</definedName>
    <definedName name="solver_val" localSheetId="53" hidden="1">0</definedName>
    <definedName name="solver_val" localSheetId="59" hidden="1">0</definedName>
    <definedName name="solver_val" localSheetId="6" hidden="1">0</definedName>
    <definedName name="solver_val" localSheetId="23" hidden="1">0</definedName>
    <definedName name="solver_val" localSheetId="34" hidden="1">0</definedName>
    <definedName name="solver_val" localSheetId="39" hidden="1">0</definedName>
    <definedName name="solver_val" localSheetId="56" hidden="1">0</definedName>
    <definedName name="solver_val" localSheetId="62" hidden="1">0</definedName>
    <definedName name="SoucetDilu" localSheetId="0">'Stavba'!#REF!</definedName>
    <definedName name="SSSS">'z04 1K'!$A$7</definedName>
    <definedName name="st" localSheetId="41">#REF!</definedName>
    <definedName name="st">#REF!</definedName>
    <definedName name="StavbaCelkem" localSheetId="0">'Stavba'!$H$63</definedName>
    <definedName name="tanoaihony" localSheetId="49">#REF!</definedName>
    <definedName name="Typ" localSheetId="7">#REF!</definedName>
    <definedName name="Typ" localSheetId="9">'p02P'!#REF!</definedName>
    <definedName name="Typ" localSheetId="8">#REF!</definedName>
    <definedName name="Typ" localSheetId="41">'z01P'!#REF!</definedName>
    <definedName name="Typ">'z01P'!#REF!</definedName>
    <definedName name="uiomůhj">'z11aR'!$G$14</definedName>
    <definedName name="uiopui">'z11aP'!#REF!</definedName>
    <definedName name="uiopukik">'z11aK'!$B$37</definedName>
    <definedName name="uioůlik">'z11bP'!#REF!</definedName>
    <definedName name="umizoi">'z11aR'!$B$6</definedName>
    <definedName name="vfrecdw">'z05P'!$A$6</definedName>
    <definedName name="VRN" localSheetId="7">'[2]Rekapitulace'!$H$21</definedName>
    <definedName name="VRN" localSheetId="9">'[2]Rekapitulace'!$H$21</definedName>
    <definedName name="VRN" localSheetId="8">'p02R'!$H$21</definedName>
    <definedName name="VRN">'z01R'!$H$28</definedName>
    <definedName name="VRNKc" localSheetId="7">#REF!</definedName>
    <definedName name="VRNKc" localSheetId="9">#REF!</definedName>
    <definedName name="VRNKc" localSheetId="8">'p02R'!#REF!</definedName>
    <definedName name="VRNKc" localSheetId="41">'z01R'!#REF!</definedName>
    <definedName name="VRNKc">'z01R'!#REF!</definedName>
    <definedName name="VRNnazev" localSheetId="7">#REF!</definedName>
    <definedName name="VRNnazev" localSheetId="9">#REF!</definedName>
    <definedName name="VRNnazev" localSheetId="8">'p02R'!#REF!</definedName>
    <definedName name="VRNnazev" localSheetId="41">'z01R'!#REF!</definedName>
    <definedName name="VRNnazev">'z01R'!#REF!</definedName>
    <definedName name="VRNproc" localSheetId="7">#REF!</definedName>
    <definedName name="VRNproc" localSheetId="9">#REF!</definedName>
    <definedName name="VRNproc" localSheetId="8">'p02R'!#REF!</definedName>
    <definedName name="VRNproc" localSheetId="41">'z01R'!#REF!</definedName>
    <definedName name="VRNproc">'z01R'!#REF!</definedName>
    <definedName name="VRNzakl" localSheetId="7">#REF!</definedName>
    <definedName name="VRNzakl" localSheetId="9">#REF!</definedName>
    <definedName name="VRNzakl" localSheetId="8">'p02R'!#REF!</definedName>
    <definedName name="VRNzakl" localSheetId="41">'z01R'!#REF!</definedName>
    <definedName name="VRNzakl">'z01R'!#REF!</definedName>
    <definedName name="wceřrteert">'z11aK'!$C$11:$E$11</definedName>
    <definedName name="wčřžgvrt">'z11bP'!$D$6</definedName>
    <definedName name="wčřžwbrg">'z11bP'!$B$6</definedName>
    <definedName name="wčřžwrt">'z11bK'!$C$11:$E$11</definedName>
    <definedName name="werctwertcwer">'z11aK'!$F$30</definedName>
    <definedName name="wertwver">'z11aK'!$F$32</definedName>
    <definedName name="wřtwrt">'z11bP'!$C$6</definedName>
    <definedName name="WWWW" localSheetId="41">#REF!</definedName>
    <definedName name="WWWW">#REF!</definedName>
    <definedName name="xcderftg">'z05P'!$B$6</definedName>
    <definedName name="xcvb">'z11aR'!$E$14</definedName>
    <definedName name="XCXCVVB" localSheetId="41">#REF!</definedName>
    <definedName name="XCXCVVB">#REF!</definedName>
    <definedName name="xswedcvfr" localSheetId="41">'z05R'!#REF!</definedName>
    <definedName name="xswedcvfr">'z05R'!#REF!</definedName>
    <definedName name="XVC">'[1]Rekapitulace'!$H$30</definedName>
    <definedName name="XXXXX">'z04 1K'!$G$5</definedName>
    <definedName name="ýááiuk">'z11bP'!$A$6</definedName>
    <definedName name="ýáíoýái">'z11bK'!$G$11</definedName>
    <definedName name="ýáíoýuik">'z11bR'!#REF!</definedName>
    <definedName name="ýákýmnu">'z11bP'!$F$6</definedName>
    <definedName name="ýánkýáui">'z11bP'!$G$6</definedName>
    <definedName name="yaqwedc" localSheetId="41">'z05R'!#REF!</definedName>
    <definedName name="yaqwedc">'z05R'!#REF!</definedName>
    <definedName name="yaqxsw" localSheetId="41">'z05P'!#REF!</definedName>
    <definedName name="yaqxsw">'z05P'!#REF!</definedName>
    <definedName name="yaxysxcdvcf">'z05P'!$F$6</definedName>
    <definedName name="ýáýn">'z11bR'!$A$6</definedName>
    <definedName name="ydvsydtbsetb">'z11aR'!#REF!</definedName>
    <definedName name="yqwercaw">'z11bR'!$H$15</definedName>
    <definedName name="ysenkjlnkly" localSheetId="50">#REF!</definedName>
    <definedName name="ýuiopůiol">'z11bP'!#REF!</definedName>
    <definedName name="YXCC">'z04 1K'!$C$32</definedName>
    <definedName name="YXCSA">'z04 1K'!$F$32</definedName>
    <definedName name="YXCV">'[1]Rekapitulace'!$I$30</definedName>
    <definedName name="YXCVB" localSheetId="41">#REF!</definedName>
    <definedName name="YXCVB">#REF!</definedName>
    <definedName name="yxcvbt">'z11aK'!$C$30</definedName>
    <definedName name="yxcvfrd">'z05K'!$C$32</definedName>
    <definedName name="ýýáik">'z11bP'!$E$6</definedName>
    <definedName name="YYY" localSheetId="41">#REF!</definedName>
    <definedName name="YYY">#REF!</definedName>
    <definedName name="Z_1E8618C1_1B4D_11D4_B32D_0050046A422B_.wvu.PrintTitles" localSheetId="26">#REF!</definedName>
    <definedName name="Z_1E8618C1_1B4D_11D4_B32D_0050046A422B_.wvu.PrintTitles" localSheetId="41">#REF!</definedName>
    <definedName name="Z_1E8618C1_1B4D_11D4_B32D_0050046A422B_.wvu.PrintTitles" localSheetId="44">#REF!</definedName>
    <definedName name="Z_1E8618C1_1B4D_11D4_B32D_0050046A422B_.wvu.PrintTitles" localSheetId="42">#REF!</definedName>
    <definedName name="Z_1E8618C1_1B4D_11D4_B32D_0050046A422B_.wvu.PrintTitles" localSheetId="43">#REF!</definedName>
    <definedName name="Z_1E8618C1_1B4D_11D4_B32D_0050046A422B_.wvu.PrintTitles">#REF!</definedName>
    <definedName name="Z_1E8618C1_1B4D_11D4_B32D_0050046A422B_.wvu.Rows" localSheetId="26">#REF!</definedName>
    <definedName name="Z_1E8618C1_1B4D_11D4_B32D_0050046A422B_.wvu.Rows" localSheetId="41">#REF!</definedName>
    <definedName name="Z_1E8618C1_1B4D_11D4_B32D_0050046A422B_.wvu.Rows" localSheetId="44">#REF!</definedName>
    <definedName name="Z_1E8618C1_1B4D_11D4_B32D_0050046A422B_.wvu.Rows" localSheetId="42">#REF!</definedName>
    <definedName name="Z_1E8618C1_1B4D_11D4_B32D_0050046A422B_.wvu.Rows" localSheetId="43">#REF!</definedName>
    <definedName name="Z_1E8618C1_1B4D_11D4_B32D_0050046A422B_.wvu.Rows">#REF!</definedName>
    <definedName name="Z_65AC2F60_1B4A_11D4_81C5_0050046A4233_.wvu.PrintTitles" localSheetId="26">#REF!</definedName>
    <definedName name="Z_65AC2F60_1B4A_11D4_81C5_0050046A4233_.wvu.PrintTitles" localSheetId="41">#REF!</definedName>
    <definedName name="Z_65AC2F60_1B4A_11D4_81C5_0050046A4233_.wvu.PrintTitles" localSheetId="44">#REF!</definedName>
    <definedName name="Z_65AC2F60_1B4A_11D4_81C5_0050046A4233_.wvu.PrintTitles" localSheetId="42">#REF!</definedName>
    <definedName name="Z_65AC2F60_1B4A_11D4_81C5_0050046A4233_.wvu.PrintTitles" localSheetId="43">#REF!</definedName>
    <definedName name="Z_65AC2F60_1B4A_11D4_81C5_0050046A4233_.wvu.PrintTitles">#REF!</definedName>
    <definedName name="Z_65AC2F60_1B4A_11D4_81C5_0050046A4233_.wvu.Rows" localSheetId="26">#REF!</definedName>
    <definedName name="Z_65AC2F60_1B4A_11D4_81C5_0050046A4233_.wvu.Rows" localSheetId="41">#REF!</definedName>
    <definedName name="Z_65AC2F60_1B4A_11D4_81C5_0050046A4233_.wvu.Rows" localSheetId="44">#REF!</definedName>
    <definedName name="Z_65AC2F60_1B4A_11D4_81C5_0050046A4233_.wvu.Rows" localSheetId="42">#REF!</definedName>
    <definedName name="Z_65AC2F60_1B4A_11D4_81C5_0050046A4233_.wvu.Rows" localSheetId="43">#REF!</definedName>
    <definedName name="Z_65AC2F60_1B4A_11D4_81C5_0050046A4233_.wvu.Rows">#REF!</definedName>
    <definedName name="Zakazka" localSheetId="7">'p02K'!$G$11</definedName>
    <definedName name="Zakazka">'z01K'!$G$11</definedName>
    <definedName name="ZakHead" localSheetId="41">#REF!</definedName>
    <definedName name="ZakHead" localSheetId="49">#REF!</definedName>
    <definedName name="ZakHead" localSheetId="50">#REF!</definedName>
    <definedName name="ZakHead">#REF!</definedName>
    <definedName name="Zaklad22" localSheetId="7">'p02K'!$F$32</definedName>
    <definedName name="Zaklad22">'z01K'!$F$32</definedName>
    <definedName name="Zaklad5" localSheetId="7">'p02K'!$F$30</definedName>
    <definedName name="Zaklad5">'z01K'!$F$30</definedName>
    <definedName name="Zhotovitel" localSheetId="7">'p02K'!$C$11:$E$11</definedName>
    <definedName name="Zhotovitel" localSheetId="0">'Stavba'!$D$7</definedName>
    <definedName name="Zhotovitel">'z01K'!$C$11:$E$11</definedName>
    <definedName name="zhujikol" localSheetId="41">'z05P'!#REF!</definedName>
    <definedName name="zhujikol">'z05P'!#REF!</definedName>
    <definedName name="zmoluiz">'z11aR'!#REF!</definedName>
    <definedName name="znuiuuik">'z11bK'!$C$7</definedName>
    <definedName name="znzkzunjzujýz">'z11aK'!$B$27</definedName>
    <definedName name="zozluik">'z11bP'!#REF!</definedName>
    <definedName name="zuinzuiz">'z11aR'!#REF!</definedName>
    <definedName name="zuio">'z11aR'!$H$27</definedName>
    <definedName name="zuioéýáí">'z11bP'!#REF!</definedName>
    <definedName name="zuiokzuikz">'z11aK'!$A$5</definedName>
    <definedName name="ZUO">'z04 1K'!$F$30</definedName>
    <definedName name="zuokjjm">'z11aR'!$F$14</definedName>
    <definedName name="zuuikujnzj">'z11bK'!$B$37</definedName>
    <definedName name="zýimlozk">'z11bR'!$E$15</definedName>
    <definedName name="zzmolui">'z11aK'!$G$5</definedName>
    <definedName name="_xlnm.Print_Titles" localSheetId="2">'r01R'!$1:$6</definedName>
    <definedName name="_xlnm.Print_Titles" localSheetId="3">'r01P'!$1:$6</definedName>
    <definedName name="_xlnm.Print_Titles" localSheetId="5">'z01R'!$1:$6</definedName>
    <definedName name="_xlnm.Print_Titles" localSheetId="6">'z01P'!$1:$6</definedName>
    <definedName name="_xlnm.Print_Titles" localSheetId="8">'p02R'!$1:$6</definedName>
    <definedName name="_xlnm.Print_Titles" localSheetId="9">'p02P'!$1:$6</definedName>
    <definedName name="_xlnm.Print_Titles" localSheetId="11">'r03R'!$1:$6</definedName>
    <definedName name="_xlnm.Print_Titles" localSheetId="12">'r03P'!$1:$6</definedName>
    <definedName name="_xlnm.Print_Titles" localSheetId="14">'r04 1R'!$1:$6</definedName>
    <definedName name="_xlnm.Print_Titles" localSheetId="15">'r04 1P'!$1:$6</definedName>
    <definedName name="_xlnm.Print_Titles" localSheetId="22">'z04 1R'!$1:$6</definedName>
    <definedName name="_xlnm.Print_Titles" localSheetId="23">'z04 1P'!$1:$6</definedName>
    <definedName name="_xlnm.Print_Titles" localSheetId="24">'p04 a'!$1:$7</definedName>
    <definedName name="_xlnm.Print_Titles" localSheetId="26">'p04 e'!$1:$7</definedName>
    <definedName name="_xlnm.Print_Titles" localSheetId="30">'r05R'!$1:$6</definedName>
    <definedName name="_xlnm.Print_Titles" localSheetId="31">'r05P'!$1:$6</definedName>
    <definedName name="_xlnm.Print_Titles" localSheetId="33">'z05R'!$1:$6</definedName>
    <definedName name="_xlnm.Print_Titles" localSheetId="34">'z05P'!$1:$6</definedName>
  </definedNames>
  <calcPr calcId="124519"/>
</workbook>
</file>

<file path=xl/sharedStrings.xml><?xml version="1.0" encoding="utf-8"?>
<sst xmlns="http://schemas.openxmlformats.org/spreadsheetml/2006/main" count="8367" uniqueCount="2764">
  <si>
    <t>Položkový rozpočet stavby</t>
  </si>
  <si>
    <t xml:space="preserve"> </t>
  </si>
  <si>
    <t>Stavba :</t>
  </si>
  <si>
    <t xml:space="preserve">Objednatel : </t>
  </si>
  <si>
    <t xml:space="preserve">Zhotovitel : </t>
  </si>
  <si>
    <t>Za zhotovitele :</t>
  </si>
  <si>
    <t>_______________</t>
  </si>
  <si>
    <t>Rozpočtové náklady</t>
  </si>
  <si>
    <t>Základ pro DPH</t>
  </si>
  <si>
    <t>%</t>
  </si>
  <si>
    <t>Číslo a název objektu / provozního souboru</t>
  </si>
  <si>
    <t>Rekapitulace stavebních rozpočtů</t>
  </si>
  <si>
    <t>2013/88</t>
  </si>
  <si>
    <t>Lednice zahrady</t>
  </si>
  <si>
    <t>01</t>
  </si>
  <si>
    <t>Demolice</t>
  </si>
  <si>
    <t>03</t>
  </si>
  <si>
    <t>Komunikace</t>
  </si>
  <si>
    <t>04</t>
  </si>
  <si>
    <t>Infokiosek</t>
  </si>
  <si>
    <t>07</t>
  </si>
  <si>
    <t>Městký mobiliář</t>
  </si>
  <si>
    <t>11a</t>
  </si>
  <si>
    <t>Akumulační nádrž</t>
  </si>
  <si>
    <t>11b</t>
  </si>
  <si>
    <t>Čerpací stanice</t>
  </si>
  <si>
    <t>10</t>
  </si>
  <si>
    <t>12</t>
  </si>
  <si>
    <t>05</t>
  </si>
  <si>
    <t>06</t>
  </si>
  <si>
    <t>Tématické zahrady</t>
  </si>
  <si>
    <t>Kanalizace a přípojky</t>
  </si>
  <si>
    <t>08</t>
  </si>
  <si>
    <t>Vodovod a přípojky</t>
  </si>
  <si>
    <t>09</t>
  </si>
  <si>
    <t>Přípojky NN,venkovní oddělení</t>
  </si>
  <si>
    <t>Venkovní rozvody slaboproudé včetně infosystému</t>
  </si>
  <si>
    <t>Závlahy</t>
  </si>
  <si>
    <t>Projektová dokumentace</t>
  </si>
  <si>
    <t>Projektová příprava</t>
  </si>
  <si>
    <t>Veřejná zakázka</t>
  </si>
  <si>
    <t>Rezerva rozpočtu</t>
  </si>
  <si>
    <t>Autorský dozor</t>
  </si>
  <si>
    <t>Technický dozor investora</t>
  </si>
  <si>
    <t>Ing. Z. Stojan - Projekt - Servis</t>
  </si>
  <si>
    <t>Výukové materiály - CD, výukové sady inf. materiálů</t>
  </si>
  <si>
    <t>rozpočet</t>
  </si>
  <si>
    <t>Příprava území, terénní úpravy</t>
  </si>
  <si>
    <t>rozdíl PP / rozpočet</t>
  </si>
  <si>
    <t xml:space="preserve">c  Zařízení vzduchotechniky </t>
  </si>
  <si>
    <t>g  Zařízení silnoproudé elektrotechniky včetně bleskosvodů</t>
  </si>
  <si>
    <t>h  Zařízení slaboproudé elektrotechniky</t>
  </si>
  <si>
    <t>e  Zařízení zdravotně technických instalací</t>
  </si>
  <si>
    <t xml:space="preserve"> a  Zařízení pro vytápění staveb</t>
  </si>
  <si>
    <t>Celkem za stavbu bez DPH</t>
  </si>
  <si>
    <t>1 stavební část</t>
  </si>
  <si>
    <t>2 stavební část doplnění k oplocení</t>
  </si>
  <si>
    <t>CELKEM VRN</t>
  </si>
  <si>
    <t>Kompletační činnost (IČD)</t>
  </si>
  <si>
    <t>Provoz investora</t>
  </si>
  <si>
    <t>Zařízení staveniště</t>
  </si>
  <si>
    <t>Mimostaveništní doprava</t>
  </si>
  <si>
    <t>Přesun stavebních kapacit</t>
  </si>
  <si>
    <t>Oborová přirážka</t>
  </si>
  <si>
    <t>Ztížené výrobní podmínky</t>
  </si>
  <si>
    <t>Kč</t>
  </si>
  <si>
    <t>Základna</t>
  </si>
  <si>
    <t>Název VRN</t>
  </si>
  <si>
    <t>VEDLEJŠÍ ROZPOČTOVÉ  NÁKLADY</t>
  </si>
  <si>
    <t>CELKEM  OBJEKT</t>
  </si>
  <si>
    <t>HZS</t>
  </si>
  <si>
    <t>Montáž</t>
  </si>
  <si>
    <t>Dodávka</t>
  </si>
  <si>
    <t>PSV</t>
  </si>
  <si>
    <t>HSV</t>
  </si>
  <si>
    <t>Stavební díl</t>
  </si>
  <si>
    <t>REKAPITULACE  STAVEBNÍCH  DÍLŮ</t>
  </si>
  <si>
    <t>aktualizovaný</t>
  </si>
  <si>
    <t>01 Demolice</t>
  </si>
  <si>
    <t>Objekt :</t>
  </si>
  <si>
    <t/>
  </si>
  <si>
    <t>Rozpočet :</t>
  </si>
  <si>
    <t>2013/88 Lednice zahrady</t>
  </si>
  <si>
    <t>Poznámka :</t>
  </si>
  <si>
    <t>CENA ZA OBJEKT CELKEM</t>
  </si>
  <si>
    <t xml:space="preserve">% </t>
  </si>
  <si>
    <t>DPH</t>
  </si>
  <si>
    <t xml:space="preserve">%  </t>
  </si>
  <si>
    <t>Podpis:</t>
  </si>
  <si>
    <t>Podpis :</t>
  </si>
  <si>
    <t>Datum :</t>
  </si>
  <si>
    <t>Jméno :</t>
  </si>
  <si>
    <t>Za objednatele</t>
  </si>
  <si>
    <t>Za zhotovitele</t>
  </si>
  <si>
    <t>Vypracoval</t>
  </si>
  <si>
    <t>Ostatní náklady celkem</t>
  </si>
  <si>
    <t>ZRN+ost.náklady+HZS</t>
  </si>
  <si>
    <t>Ostatní náklady neuvedené</t>
  </si>
  <si>
    <t>ZRN+HZS</t>
  </si>
  <si>
    <t>ZRN celkem</t>
  </si>
  <si>
    <t>M dodávky celkem</t>
  </si>
  <si>
    <t>N</t>
  </si>
  <si>
    <t>M práce celkem</t>
  </si>
  <si>
    <t>R</t>
  </si>
  <si>
    <t>PSV celkem</t>
  </si>
  <si>
    <t>Z</t>
  </si>
  <si>
    <t>HSV celkem</t>
  </si>
  <si>
    <t>Ostatní rozpočtové náklady</t>
  </si>
  <si>
    <t>Základní rozpočtové náklady</t>
  </si>
  <si>
    <t>ROZPOČTOVÉ NÁKLADY</t>
  </si>
  <si>
    <t>Počet listů</t>
  </si>
  <si>
    <t>Rozpočtoval</t>
  </si>
  <si>
    <t xml:space="preserve">Zakázkové číslo </t>
  </si>
  <si>
    <t>Dodavatel</t>
  </si>
  <si>
    <t>Objednatel</t>
  </si>
  <si>
    <t>Zpracovatel projektu</t>
  </si>
  <si>
    <t>Typ rozpočtu</t>
  </si>
  <si>
    <t>Projektant</t>
  </si>
  <si>
    <t>Náklady na m.j.</t>
  </si>
  <si>
    <t>Počet jednotek</t>
  </si>
  <si>
    <t>Stavba</t>
  </si>
  <si>
    <t>Měrná jednotka</t>
  </si>
  <si>
    <t xml:space="preserve">SKP </t>
  </si>
  <si>
    <t>Objekt</t>
  </si>
  <si>
    <t xml:space="preserve">JKSO </t>
  </si>
  <si>
    <t>Rozpočet</t>
  </si>
  <si>
    <t>POLOŽKOVÝ ROZPOČET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</si>
  <si>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</si>
  <si>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</si>
  <si>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</si>
  <si>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</si>
  <si>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</si>
  <si>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</si>
  <si>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</si>
  <si>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</si>
  <si>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</si>
  <si>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</si>
  <si>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</si>
  <si>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</si>
  <si>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</si>
  <si>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</si>
  <si>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</si>
  <si>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</si>
  <si>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113106123U00</t>
  </si>
  <si>
    <t xml:space="preserve">Rozebr zámk dlažba pro pěší komun </t>
  </si>
  <si>
    <t>m2</t>
  </si>
  <si>
    <t>dlažba mezi pařenišmi:1,7*11,34</t>
  </si>
  <si>
    <t>dlažba kolem pařníků:  20</t>
  </si>
  <si>
    <t>113107315R00</t>
  </si>
  <si>
    <t xml:space="preserve">Odstranění podkladu pl. 50 m2,kam.těžené tl.15 cm </t>
  </si>
  <si>
    <t>pařeniště:  (3,05*10,94)*2</t>
  </si>
  <si>
    <t>zámková dlažba mezi pařníky:1,7*21,54</t>
  </si>
  <si>
    <t>121103111R00</t>
  </si>
  <si>
    <t xml:space="preserve">Skrývka zemin v rovině a sklonu 1:5 </t>
  </si>
  <si>
    <t>m3</t>
  </si>
  <si>
    <t>zemina pod Pergolou:  (6*20)*0,25</t>
  </si>
  <si>
    <t>132301101R00</t>
  </si>
  <si>
    <t xml:space="preserve">Hloubení rýh šířky do 60 cm v hor.4 do 100 m3 </t>
  </si>
  <si>
    <t>pařník nové boční zdivo:  (2,82*0,5)*1*2</t>
  </si>
  <si>
    <t>162701105R14</t>
  </si>
  <si>
    <t>Vodorovné přemístění výkopku z hor.1-4 do 10000 m kapacita vozu 12 m3</t>
  </si>
  <si>
    <t>zemina z noých základů:  (2,82*0,5)*1*2</t>
  </si>
  <si>
    <t>167101101R00</t>
  </si>
  <si>
    <t xml:space="preserve">Nakládání výkopku z hor.1-4 v množství do 100 m3 </t>
  </si>
  <si>
    <t>171201211U00</t>
  </si>
  <si>
    <t xml:space="preserve">Skládkovné zemina </t>
  </si>
  <si>
    <t>t</t>
  </si>
  <si>
    <t>zemina z noých základů:  (2,82*0,5)*1*2*2,1</t>
  </si>
  <si>
    <t>174101102R00</t>
  </si>
  <si>
    <t xml:space="preserve">Zásyp ruční se zhutněním </t>
  </si>
  <si>
    <t>pařníky:(10,94*2+3,22)*0,4*1*2</t>
  </si>
  <si>
    <t>Pergola patky: (0,4*0,4)*0,8*21</t>
  </si>
  <si>
    <t>181101102R00</t>
  </si>
  <si>
    <t xml:space="preserve">Úprava základové spáry v hor. 1-4, se zhutněním </t>
  </si>
  <si>
    <t>pařník nové boční zdivo:  (2,82*0,5)*2</t>
  </si>
  <si>
    <t>Celkem za</t>
  </si>
  <si>
    <t>1 Zemní práce</t>
  </si>
  <si>
    <t>11</t>
  </si>
  <si>
    <t>Přípravné a přidružené práce</t>
  </si>
  <si>
    <t>111000011</t>
  </si>
  <si>
    <t>Vyklizení uloženého materiálu a ekologická likvidace</t>
  </si>
  <si>
    <t>soubor</t>
  </si>
  <si>
    <t>11 Přípravné a přidružené práce</t>
  </si>
  <si>
    <t>2</t>
  </si>
  <si>
    <t>Základy a zvláštní zakládání</t>
  </si>
  <si>
    <t>274313611R00</t>
  </si>
  <si>
    <t xml:space="preserve">Beton základových pasů prostý C 16/20 </t>
  </si>
  <si>
    <t>2 Základy a zvláštní zakládání</t>
  </si>
  <si>
    <t>3</t>
  </si>
  <si>
    <t>Svislé a kompletní konstrukce</t>
  </si>
  <si>
    <t>311112020RT3</t>
  </si>
  <si>
    <t>Uložení tvárnic ztraceného bednění, tl. 20 cm zalití tvárnic betonem C 20/25</t>
  </si>
  <si>
    <t>nové boční zdivo pařníků:  (2,82*0,4)*2</t>
  </si>
  <si>
    <t xml:space="preserve">  (2,82*0,4)/2*2</t>
  </si>
  <si>
    <t>595133233</t>
  </si>
  <si>
    <t>Tvarovka ZB 25-20  A 500/200/250 ztracené bednění</t>
  </si>
  <si>
    <t>kus</t>
  </si>
  <si>
    <t>Začátek provozního součtu</t>
  </si>
  <si>
    <t>3,384*8/1,1</t>
  </si>
  <si>
    <t>Konec provozního součtu</t>
  </si>
  <si>
    <t>28</t>
  </si>
  <si>
    <t>3 Svislé a kompletní konstrukce</t>
  </si>
  <si>
    <t>94</t>
  </si>
  <si>
    <t>Lešení a stavební výtahy</t>
  </si>
  <si>
    <t>941955001R00</t>
  </si>
  <si>
    <t xml:space="preserve">Lešení lehké pomocné, výška podlahy do 1,2 m </t>
  </si>
  <si>
    <t>Pergola:8,3*22,8</t>
  </si>
  <si>
    <t>94 Lešení a stavební výtahy</t>
  </si>
  <si>
    <t>95</t>
  </si>
  <si>
    <t>Dokončovací konstrukce na pozemních stavbách</t>
  </si>
  <si>
    <t>952901111R00</t>
  </si>
  <si>
    <t xml:space="preserve">Vyčištění budov o výšce podlaží do 4 m </t>
  </si>
  <si>
    <t>95 Dokončovací konstrukce na pozemních stavbách</t>
  </si>
  <si>
    <t>96</t>
  </si>
  <si>
    <t>Bourání konstrukcí</t>
  </si>
  <si>
    <t>961044111R00</t>
  </si>
  <si>
    <t xml:space="preserve">Bourání základů z betonu prostého </t>
  </si>
  <si>
    <t>962042321R00</t>
  </si>
  <si>
    <t xml:space="preserve">Bourání zdiva nadzákladového z betonu prostého </t>
  </si>
  <si>
    <t>zdivo pařníku:(10,94*2+3,22)*0,2*0,4*2</t>
  </si>
  <si>
    <t>štíty:(3,05*0,5)</t>
  </si>
  <si>
    <t>965042241RT4</t>
  </si>
  <si>
    <t>Bourání mazanin betonových tl. nad 10 cm, nad 4 m2 sbíječka  tl. mazaniny 10 - 15 cm</t>
  </si>
  <si>
    <t>podlaha pařeniště:(3,05*10,94)*0,15*2</t>
  </si>
  <si>
    <t>965049111RT1</t>
  </si>
  <si>
    <t>Příplatek, bourání mazanin se svař. síťí tl. 10 cm jednostranná výztuž svařovanou sítí</t>
  </si>
  <si>
    <t>965081434AJ</t>
  </si>
  <si>
    <t xml:space="preserve">Bourání odvodňovacího žlabu betonového </t>
  </si>
  <si>
    <t>10,94*0,5</t>
  </si>
  <si>
    <t>969011121R00</t>
  </si>
  <si>
    <t xml:space="preserve">Vybourání vodovod., plynového vedení DN do 52 mm </t>
  </si>
  <si>
    <t>m</t>
  </si>
  <si>
    <t>rozvody vody:11*2</t>
  </si>
  <si>
    <t>96 Bourání konstrukcí</t>
  </si>
  <si>
    <t>99</t>
  </si>
  <si>
    <t>Staveništní přesun hmot</t>
  </si>
  <si>
    <t>998011031R00</t>
  </si>
  <si>
    <t xml:space="preserve">Přesun hmot </t>
  </si>
  <si>
    <t>99 Staveništní přesun hmot</t>
  </si>
  <si>
    <t>762</t>
  </si>
  <si>
    <t>Konstrukce tesařské</t>
  </si>
  <si>
    <t>762331811R00</t>
  </si>
  <si>
    <t xml:space="preserve">Demontáž konstrukcí krovů z hranolů do 120 cm2 </t>
  </si>
  <si>
    <t>Pergola:(9*7)+(22,8*24)</t>
  </si>
  <si>
    <t>998762202R00</t>
  </si>
  <si>
    <t xml:space="preserve">Přesun hmot pro tesařské konstrukce, výšky do 12 m </t>
  </si>
  <si>
    <t>762 Konstrukce tesařské</t>
  </si>
  <si>
    <t>764</t>
  </si>
  <si>
    <t>Konstrukce klempířské</t>
  </si>
  <si>
    <t>764430840R00</t>
  </si>
  <si>
    <t xml:space="preserve">Demontáž oplechování zdí,rš od 330 do 500 mm </t>
  </si>
  <si>
    <t>(1,7*2)*2</t>
  </si>
  <si>
    <t>998764201R00</t>
  </si>
  <si>
    <t xml:space="preserve">Přesun hmot pro klempířské konstr., výšky do 6 m </t>
  </si>
  <si>
    <t>764 Konstrukce klempířské</t>
  </si>
  <si>
    <t>767</t>
  </si>
  <si>
    <t>Konstrukce zámečnické</t>
  </si>
  <si>
    <t>767996801R00</t>
  </si>
  <si>
    <t xml:space="preserve">Demontáž atypických ocelových konstr. do 50 kg </t>
  </si>
  <si>
    <t>kg</t>
  </si>
  <si>
    <t>nosná konstrukce zastřešení:(10,94*5)*2</t>
  </si>
  <si>
    <t>(0,8*4)*5*2</t>
  </si>
  <si>
    <t>Pergola sloupy:(7,3)*2,5*7,33</t>
  </si>
  <si>
    <t>998767201R00</t>
  </si>
  <si>
    <t xml:space="preserve">Přesun hmot pro zámečnické konstr., výšky do 6 m </t>
  </si>
  <si>
    <t>767 Konstrukce zámečnické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</si>
  <si>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</si>
  <si>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</si>
  <si>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</si>
  <si>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</si>
  <si>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</si>
  <si>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</si>
  <si>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</si>
  <si>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</si>
  <si>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</si>
  <si>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</si>
  <si>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979098111U00</t>
  </si>
  <si>
    <t xml:space="preserve">Skládkovné beton -příměs </t>
  </si>
  <si>
    <t>D96 Přesuny suti a vybouraných hmot</t>
  </si>
  <si>
    <t>Více a méně práce</t>
  </si>
  <si>
    <t>Název objektu</t>
  </si>
  <si>
    <t>Název stavby</t>
  </si>
  <si>
    <t xml:space="preserve"> úpravy říjen 2014 přípočty+odpočty</t>
  </si>
  <si>
    <t>-123,35</t>
  </si>
  <si>
    <t>nové zdivo pařníky:   -2,8</t>
  </si>
  <si>
    <t>zemina pod Pergolou:  (8,3*22,8)*0,25</t>
  </si>
  <si>
    <t>kolem pařeniště:  (1,968+1,74+3,45)*3,695</t>
  </si>
  <si>
    <t>26,4488*0,25</t>
  </si>
  <si>
    <t>nové zdivo pařníky:-2,82</t>
  </si>
  <si>
    <t>pařník nové boční zdivo:  (3,05*0,7)*1*2</t>
  </si>
  <si>
    <t>-2,82</t>
  </si>
  <si>
    <t>zemina z noých základů:  -(2,82*0,5)*1*2*2,1</t>
  </si>
  <si>
    <t>pařníky:(10,74*2+3,45)*0,4*1*2</t>
  </si>
  <si>
    <t>-22,77</t>
  </si>
  <si>
    <t>pařník nové boční zdivo:  (3,05*0,7)*2</t>
  </si>
  <si>
    <t>-3,38</t>
  </si>
  <si>
    <t>nové zdivo pařníků:   -28</t>
  </si>
  <si>
    <t>pařníky:(10,74*2+3,05)*0,4*1*2</t>
  </si>
  <si>
    <t>zdivo pařníku:(10,74*2+3,05)*0,2*0,4*2</t>
  </si>
  <si>
    <t>štíty:(3,05*0,45)</t>
  </si>
  <si>
    <t>-5,54</t>
  </si>
  <si>
    <t>podlaha pařeniště:(3,05*10,74)*0,15*2</t>
  </si>
  <si>
    <t>-10,01</t>
  </si>
  <si>
    <t>10,74*0,5</t>
  </si>
  <si>
    <t>-5,47</t>
  </si>
  <si>
    <t>Pergola:9*7</t>
  </si>
  <si>
    <t>-610</t>
  </si>
  <si>
    <t>762341811R00</t>
  </si>
  <si>
    <t xml:space="preserve">Demontáž  stínící dřev.lamely </t>
  </si>
  <si>
    <t>Pergola:  8,3*22,8</t>
  </si>
  <si>
    <t>10,74*4</t>
  </si>
  <si>
    <t>-6,8</t>
  </si>
  <si>
    <t xml:space="preserve">Skládkovné sutě </t>
  </si>
  <si>
    <t xml:space="preserve">Rozpočet </t>
  </si>
  <si>
    <t xml:space="preserve"> PP</t>
  </si>
  <si>
    <t>02</t>
  </si>
  <si>
    <t>SO.02 Příprava území, terénní úpravy.</t>
  </si>
  <si>
    <t>132201101R00</t>
  </si>
  <si>
    <t xml:space="preserve">Hloubení rýh šířky do 60 cm v hor.3 do 100 m3 </t>
  </si>
  <si>
    <t>(0,35*0,8)*(10+25+15+27+10+8+5+5)</t>
  </si>
  <si>
    <t>132201202R00</t>
  </si>
  <si>
    <t xml:space="preserve">Hloubení rýh šířky do 200 cm v hor.3 do 1000 m3 </t>
  </si>
  <si>
    <t>(0,9*0,8)*(41+13,5+43+30+50+20+42+7+50)</t>
  </si>
  <si>
    <t>162301102R14</t>
  </si>
  <si>
    <t>Vodorovné přemístění výkopku z hor.1-4 do 1000 m kapacita vozu 12 m3</t>
  </si>
  <si>
    <t>(29,4+213,48)-171,93</t>
  </si>
  <si>
    <t>přebytečná zemina:(29,4+213,48)-171,93</t>
  </si>
  <si>
    <t>171201201R00</t>
  </si>
  <si>
    <t xml:space="preserve">Uložení sypaniny na dočasnou skládku </t>
  </si>
  <si>
    <t>174101101R00</t>
  </si>
  <si>
    <t xml:space="preserve">Zásyp jam, rýh, šachet se zhutněním </t>
  </si>
  <si>
    <t>(0,9*0,55)*(41+13,5+43+40+50+20+42+7+50)</t>
  </si>
  <si>
    <t>(0,35*0,55)*(10+25+15+27+10+8+5+5)</t>
  </si>
  <si>
    <t>03 Komunikace</t>
  </si>
  <si>
    <t xml:space="preserve">Přesun hmot, pozemní komunikace, kryt živičný </t>
  </si>
  <si>
    <t>998225111R00</t>
  </si>
  <si>
    <t xml:space="preserve"> -(35*30)</t>
  </si>
  <si>
    <t>Parkovací stání: 58*50</t>
  </si>
  <si>
    <t>91 Doplňující práce na komunikaci</t>
  </si>
  <si>
    <t xml:space="preserve">Předznačení pro značení stopčáry, zebry, nápisů </t>
  </si>
  <si>
    <t>915791112R00</t>
  </si>
  <si>
    <t>(38*5,3)+(28*2,4)+(3*3,6)</t>
  </si>
  <si>
    <t xml:space="preserve">Vodor.značení dělicích čar 12 cm plastem,nehlučné </t>
  </si>
  <si>
    <t>915711121R00</t>
  </si>
  <si>
    <t>invalidní stání:  (5,3*3,6)*3</t>
  </si>
  <si>
    <t xml:space="preserve">Zřízení vodorovného značení z nátěr.hmot tl.do 3mm </t>
  </si>
  <si>
    <t>915701111R00</t>
  </si>
  <si>
    <t>Doplňující práce na komunikaci</t>
  </si>
  <si>
    <t>91</t>
  </si>
  <si>
    <t>Poznámky:</t>
  </si>
  <si>
    <t>Členění rozpočtu vychází z nutnosti zachovat spojitost rozpočtu prováděcího, označeno červeně a písmenkem "p" na začátku názvu listu</t>
  </si>
  <si>
    <t>U listů kde je tato spojitost řešena odpočty a přípočty od původního dotačního rozpočtu je použito barvy modré a písmene "z".</t>
  </si>
  <si>
    <t xml:space="preserve">Celkem   </t>
  </si>
  <si>
    <t xml:space="preserve">140 * 1,05   </t>
  </si>
  <si>
    <t xml:space="preserve">kabel silový s Cu jádrem CYKY 3x2,5 mm2   </t>
  </si>
  <si>
    <t>341110360</t>
  </si>
  <si>
    <t>341</t>
  </si>
  <si>
    <t xml:space="preserve">Montáž měděných kabelů CYKY, CYKYD, CYKYDY, NYM, NYY, YSLY 750 V 3x2,5 mm2 uložených pevně   </t>
  </si>
  <si>
    <t>210810046</t>
  </si>
  <si>
    <t>921</t>
  </si>
  <si>
    <t xml:space="preserve">60 * 1,05   </t>
  </si>
  <si>
    <t xml:space="preserve">kabel silový s Cu jádrem CYKY 3x1,5 mm2   </t>
  </si>
  <si>
    <t>341110300</t>
  </si>
  <si>
    <t xml:space="preserve">Montáž měděných kabelů CYKY, CYKYD, CYKYDY, NYM, NYY, YSLY 750 V 3x1,5 mm2 uložených volně   </t>
  </si>
  <si>
    <t>210810005</t>
  </si>
  <si>
    <t xml:space="preserve">6 * 1,05   </t>
  </si>
  <si>
    <t xml:space="preserve">kabel silový s Cu jádrem CYKY 5x10 mm2   </t>
  </si>
  <si>
    <t>341110760</t>
  </si>
  <si>
    <t xml:space="preserve">Montáž měděných kabelů CYKY,CYBY,CYMY,NYM,CYKYLS,CYKYLo 5x10 mm2 uložených pod omítku ve stěně   </t>
  </si>
  <si>
    <t>210800113</t>
  </si>
  <si>
    <t xml:space="preserve">Zkoušky a prohlídky el rozvodů a zařízení celková prohlídka pro objem mtž prací do 500 000 Kč   </t>
  </si>
  <si>
    <t>210280002</t>
  </si>
  <si>
    <t xml:space="preserve">svorka zkušební SZ pro lano D6-12 mm   FeZn   </t>
  </si>
  <si>
    <t>354419250</t>
  </si>
  <si>
    <t>354</t>
  </si>
  <si>
    <t xml:space="preserve">Montáž svorek hromosvodných typu ST, SJ, SK, SZ, SR 01, 02 se 3 a více šrouby   </t>
  </si>
  <si>
    <t>210220302</t>
  </si>
  <si>
    <t xml:space="preserve">svorka odbočovací a spojovací SR 3a pro spojování kruhových a páskových vodičů    FeZn   </t>
  </si>
  <si>
    <t>354419960</t>
  </si>
  <si>
    <t xml:space="preserve">svorka spojovací SS pro lano D8-10 mm   </t>
  </si>
  <si>
    <t>354418850</t>
  </si>
  <si>
    <t xml:space="preserve">Montáž svorek hromosvodných typu SS, SR 03 se 2 šrouby   </t>
  </si>
  <si>
    <t>210220301</t>
  </si>
  <si>
    <t xml:space="preserve">drát průměr 8 mm AlMgSi   </t>
  </si>
  <si>
    <t>354410770</t>
  </si>
  <si>
    <t xml:space="preserve">Montáž hromosvodného vedení svodových vodičů s podpěrami průměru do 10 mm   </t>
  </si>
  <si>
    <t>210220101</t>
  </si>
  <si>
    <t xml:space="preserve">9 * 0,8   </t>
  </si>
  <si>
    <t xml:space="preserve">drát průměr 10 mm FeZn   </t>
  </si>
  <si>
    <t>354410730</t>
  </si>
  <si>
    <t xml:space="preserve">Montáž uzemňovacího vedení vodičů FeZn pomocí svorek v zemi drátem do 10 mm ve městské zástavbě   </t>
  </si>
  <si>
    <t>210220022</t>
  </si>
  <si>
    <t xml:space="preserve">páska zemnící 30 x 4 mm FeZn   </t>
  </si>
  <si>
    <t>354420620</t>
  </si>
  <si>
    <t xml:space="preserve">Montáž uzemňovacího vedení vodičů FeZn pomocí svorek v zemi páskou do 120 mm2 ve městské zástavbě   </t>
  </si>
  <si>
    <t>210220020</t>
  </si>
  <si>
    <t xml:space="preserve">svítidlo stropní přisazené zářivkové  2x54W lineární   </t>
  </si>
  <si>
    <t>348144510</t>
  </si>
  <si>
    <t>348</t>
  </si>
  <si>
    <t xml:space="preserve">Montáž svítidel zářivkových bytových stropních přisazených 2 zdroje s krytem   </t>
  </si>
  <si>
    <t>210201025</t>
  </si>
  <si>
    <t xml:space="preserve">svítidlo zářivkové nástěnné, 1x32W, IP43   </t>
  </si>
  <si>
    <t>348121100-3</t>
  </si>
  <si>
    <t xml:space="preserve">Montáž svítidel zářivkových bytových stropních přisazených 1 zdroj s krytem   </t>
  </si>
  <si>
    <t>210201015</t>
  </si>
  <si>
    <t xml:space="preserve">rozvodnice Rp1- viz výkres   </t>
  </si>
  <si>
    <t>357112130-4</t>
  </si>
  <si>
    <t>357</t>
  </si>
  <si>
    <t xml:space="preserve">Montáž rozvodnic běžných oceloplechových nebo plastových do 50 kg   </t>
  </si>
  <si>
    <t>210190002</t>
  </si>
  <si>
    <t xml:space="preserve">elektrická topná rohož 2000W   </t>
  </si>
  <si>
    <t>484177772</t>
  </si>
  <si>
    <t>484</t>
  </si>
  <si>
    <t xml:space="preserve">elektrická topná rohož 500W   </t>
  </si>
  <si>
    <t>484177771</t>
  </si>
  <si>
    <t xml:space="preserve">elektrická topná rohož 300W   </t>
  </si>
  <si>
    <t>484177770</t>
  </si>
  <si>
    <t xml:space="preserve">Montáž podlahového vytápění   </t>
  </si>
  <si>
    <t>210180006</t>
  </si>
  <si>
    <t xml:space="preserve">těleso přímotopné 1000W   </t>
  </si>
  <si>
    <t>541530260</t>
  </si>
  <si>
    <t>541</t>
  </si>
  <si>
    <t xml:space="preserve">Montáž přímotopných těles   </t>
  </si>
  <si>
    <t>210180001</t>
  </si>
  <si>
    <t xml:space="preserve">zásuvka 2násobná 16A  bílá, slonová kost   </t>
  </si>
  <si>
    <t>345551230</t>
  </si>
  <si>
    <t>345</t>
  </si>
  <si>
    <t xml:space="preserve">Montáž zásuvka (polo)zapuštěná bezšroubové připojení 2x (2P + PE) dvojnásobná   </t>
  </si>
  <si>
    <t>210111043</t>
  </si>
  <si>
    <t xml:space="preserve">termostat prostorový podlahového vytápění vč. čidla do podlahy   </t>
  </si>
  <si>
    <t>286181950</t>
  </si>
  <si>
    <t>286</t>
  </si>
  <si>
    <t xml:space="preserve">Montáž termostatu s podlah. čidlem   </t>
  </si>
  <si>
    <t>210110044</t>
  </si>
  <si>
    <t xml:space="preserve">přístroj přepínače sériového 10A bílý   </t>
  </si>
  <si>
    <t>345354050</t>
  </si>
  <si>
    <t xml:space="preserve">Montáž zapuštěný přepínač nn 5-sériový šroubové připojení   </t>
  </si>
  <si>
    <t>210110043</t>
  </si>
  <si>
    <t xml:space="preserve">pohybové čidlo   </t>
  </si>
  <si>
    <t>345359000</t>
  </si>
  <si>
    <t xml:space="preserve">Montáž nástěnných čidel pohybu pro prostředí venkovní nebo mokré   </t>
  </si>
  <si>
    <t>210110029</t>
  </si>
  <si>
    <t xml:space="preserve">Ukončení kabelů smršťovací záklopkou nebo páskou se zapojením bez letování žíly do 5x10 mm2   </t>
  </si>
  <si>
    <t>210100259</t>
  </si>
  <si>
    <t xml:space="preserve">Ukončení kabelů smršťovací záklopkou nebo páskou se zapojením bez letování žíly do 5x6 mm2   </t>
  </si>
  <si>
    <t>210100155</t>
  </si>
  <si>
    <t xml:space="preserve">krabice univerzální z PH KU 68/2-1903   </t>
  </si>
  <si>
    <t>345715210</t>
  </si>
  <si>
    <t xml:space="preserve">Montáž rozvodek zapuštěných plastových kruhových KU68-1903/KO, KR97/KO97V   </t>
  </si>
  <si>
    <t>210010321</t>
  </si>
  <si>
    <t xml:space="preserve">krabice přístrojová instalační KP 68/2   </t>
  </si>
  <si>
    <t>345715110</t>
  </si>
  <si>
    <t xml:space="preserve">Montáž krabic přístrojových zapuštěných plastových kruhových KU 68/1, KU68/1301, KP67, KP68/2   </t>
  </si>
  <si>
    <t>210010301</t>
  </si>
  <si>
    <t xml:space="preserve">Elektromontáže viz půdorysy   </t>
  </si>
  <si>
    <t>21-M</t>
  </si>
  <si>
    <t xml:space="preserve">Práce a dodávky M   </t>
  </si>
  <si>
    <t>M</t>
  </si>
  <si>
    <t>9</t>
  </si>
  <si>
    <t>8</t>
  </si>
  <si>
    <t>7</t>
  </si>
  <si>
    <t>6</t>
  </si>
  <si>
    <t>5</t>
  </si>
  <si>
    <t>4</t>
  </si>
  <si>
    <t>Hmotnost celkem</t>
  </si>
  <si>
    <t>Hmotnost</t>
  </si>
  <si>
    <t>Cena celkem</t>
  </si>
  <si>
    <t>Montáž celkem</t>
  </si>
  <si>
    <t>Dodávka celkem</t>
  </si>
  <si>
    <t>Cena jednotková</t>
  </si>
  <si>
    <t>Množství celkem</t>
  </si>
  <si>
    <t>Popis</t>
  </si>
  <si>
    <t>Kód položky</t>
  </si>
  <si>
    <t>KCN</t>
  </si>
  <si>
    <t>P.Č.</t>
  </si>
  <si>
    <t>Datum:   11.12.2013</t>
  </si>
  <si>
    <t xml:space="preserve">JKSO:   </t>
  </si>
  <si>
    <t>Zhotovitel:   PK SKLENÁŘ s.r.o.</t>
  </si>
  <si>
    <t xml:space="preserve">Objednatel:   </t>
  </si>
  <si>
    <t>Objekt:   Hygienické zařízení a pokladna</t>
  </si>
  <si>
    <t>Stavba:   Labyrint přírody a ráj zahrad I.etapa, Lednice, Hyg. zařízení EL</t>
  </si>
  <si>
    <t>ROZPOČET S VÝKAZEM VÝMĚR</t>
  </si>
  <si>
    <t>04 Infokiosek</t>
  </si>
  <si>
    <t>131201101R00</t>
  </si>
  <si>
    <t xml:space="preserve">Hloubení nezapažených jam v hor.3 do 100 m3 </t>
  </si>
  <si>
    <t>SP1 + SP2:  (13*6,4)*0,3</t>
  </si>
  <si>
    <t>131201109R00</t>
  </si>
  <si>
    <t xml:space="preserve">Příplatek za lepivost - hloubení nezap.jam v hor.3 </t>
  </si>
  <si>
    <t>základy: (0,6+8,8+0,6+2,95)*0,6*1*2</t>
  </si>
  <si>
    <t>(4,9*0,6)*1*2</t>
  </si>
  <si>
    <t>132301109R00</t>
  </si>
  <si>
    <t xml:space="preserve">Příplatek za lepivost - hloubení rýh 60 cm v hor.4 </t>
  </si>
  <si>
    <t>133301101R00</t>
  </si>
  <si>
    <t xml:space="preserve">Hloubení šachet v hor.4 do 100 m3 </t>
  </si>
  <si>
    <t>Patky sloupů:(0,5*0,5)*1*2</t>
  </si>
  <si>
    <t>133301109R00</t>
  </si>
  <si>
    <t xml:space="preserve">Příplatek za lepivost - hloubení šachet v hor.4 </t>
  </si>
  <si>
    <t>8,32+21,42+0,5</t>
  </si>
  <si>
    <t>162701109R00</t>
  </si>
  <si>
    <t xml:space="preserve">Příplatek k vod. přemístění hor.1-4 za další 1 km </t>
  </si>
  <si>
    <t>30,24*10</t>
  </si>
  <si>
    <t>30,24*2,1</t>
  </si>
  <si>
    <t>175103111R00</t>
  </si>
  <si>
    <t xml:space="preserve">Obsyp objektu </t>
  </si>
  <si>
    <t>(13+7)*2*0,4*0,5</t>
  </si>
  <si>
    <t>SP1+SP2:6,1*13</t>
  </si>
  <si>
    <t>11001112</t>
  </si>
  <si>
    <t xml:space="preserve">Utěsnění podhledu z OSB </t>
  </si>
  <si>
    <t>SA1:   5,2*9,2</t>
  </si>
  <si>
    <t>1101113</t>
  </si>
  <si>
    <t xml:space="preserve">Zkouška těsnosti Bloow  door </t>
  </si>
  <si>
    <t>622261221U00</t>
  </si>
  <si>
    <t xml:space="preserve">betonáž  parapetu tl 100 mm do š.250 mm </t>
  </si>
  <si>
    <t>vnitřní+vnější:</t>
  </si>
  <si>
    <t>1.01:  (2,15+3,2)*2</t>
  </si>
  <si>
    <t>1.02:  1*2</t>
  </si>
  <si>
    <t>1.03:  1*2</t>
  </si>
  <si>
    <t>271532212U00</t>
  </si>
  <si>
    <t xml:space="preserve">Násyp základ kamenivo hrubé 16-32mm </t>
  </si>
  <si>
    <t>SP1:(4,9*8,8)*0,1</t>
  </si>
  <si>
    <t>273321321R00</t>
  </si>
  <si>
    <t xml:space="preserve">Železobeton základových desek C 20/25 </t>
  </si>
  <si>
    <t>273361921RT8</t>
  </si>
  <si>
    <t>Výztuž základových desek ze svařovaných sítí průměr drátu  8,0, oka 100/100 mm</t>
  </si>
  <si>
    <t>SP1:(4,9*8,8)*0,0079</t>
  </si>
  <si>
    <t>základy: (0,6+8,8+0,6)*0,6*0,5*2</t>
  </si>
  <si>
    <t>(4,9*0,6)*0,5*2</t>
  </si>
  <si>
    <t xml:space="preserve"> (0,6+8,8+0,6)*0,4*0,5*2</t>
  </si>
  <si>
    <t>(4,9*0,4)*0,5*2</t>
  </si>
  <si>
    <t>(2,95*0,6)*1*2</t>
  </si>
  <si>
    <t>274351215R00</t>
  </si>
  <si>
    <t xml:space="preserve">Bednění stěn základových pasů - zřízení </t>
  </si>
  <si>
    <t>základy: (0,6+8,8+0,6)*0,5*2</t>
  </si>
  <si>
    <t>(4,9*0,5)*2</t>
  </si>
  <si>
    <t>274351216R00</t>
  </si>
  <si>
    <t xml:space="preserve">Bednění stěn základových pasů - odstranění </t>
  </si>
  <si>
    <t>274354032R00</t>
  </si>
  <si>
    <t xml:space="preserve">Bednění prostupu základem do 0,05 m2, dl.0,5 m </t>
  </si>
  <si>
    <t>vodovodní přípojka:    1</t>
  </si>
  <si>
    <t>kanalizace:    1</t>
  </si>
  <si>
    <t>elektroinstalace:    1</t>
  </si>
  <si>
    <t>275313611R00</t>
  </si>
  <si>
    <t xml:space="preserve">Beton základových patek prostý C 16/20 </t>
  </si>
  <si>
    <t>(0,5*0,5)*1*2</t>
  </si>
  <si>
    <t>311271176RT4</t>
  </si>
  <si>
    <t>Zdivo z tvárnic Ytong hladkých tl. 25 cm tvárnice P 4 - 500, 599 x 249 x 250 mm</t>
  </si>
  <si>
    <t xml:space="preserve"> m2</t>
  </si>
  <si>
    <t>obvodové zdivo:  (9,7+5,8)*2*2,75</t>
  </si>
  <si>
    <t>-(1*2)*5</t>
  </si>
  <si>
    <t>-(1*0,6)*3</t>
  </si>
  <si>
    <t>-(2,15+3,2)*1,7</t>
  </si>
  <si>
    <t>317121043RT1</t>
  </si>
  <si>
    <t>Překlad nosný porobeton, světlost otv. do 105 cm překlad nosný NOP II / 3 / 23 129 x 24,9 x 25 cm</t>
  </si>
  <si>
    <t>okna:  3</t>
  </si>
  <si>
    <t>317121044RT1</t>
  </si>
  <si>
    <t>Překlad nosný porobeton, světlost otv. do 180 cm překlad nosný NOP III / 3 / 22 149 x 24,9 x 25 cm</t>
  </si>
  <si>
    <t>PL1:  6</t>
  </si>
  <si>
    <t>342255024RT1</t>
  </si>
  <si>
    <t>Příčky z desek Ytong tl. 10 cm desky P 2 - 500, 599 x 249 x 100 mm</t>
  </si>
  <si>
    <t>2,15*2,3</t>
  </si>
  <si>
    <t>342255028RT1</t>
  </si>
  <si>
    <t>Příčky z desek Ytong tl. 15 cm desky P 2 - 500, 599 x 249 x 150 mm</t>
  </si>
  <si>
    <t>(5,2+2,15+1+2+2,15)*2,3</t>
  </si>
  <si>
    <t>Vodorovné konstrukce</t>
  </si>
  <si>
    <t>416020111R00</t>
  </si>
  <si>
    <t xml:space="preserve">Podhledy SDK, kovová kce.HUT, 1x deska RB 12,5 mm </t>
  </si>
  <si>
    <t>SA1:</t>
  </si>
  <si>
    <t>1.01:5,2*2,15</t>
  </si>
  <si>
    <t>416020113R00</t>
  </si>
  <si>
    <t xml:space="preserve">Podhledy SDK, kovová kce.HUT 1x deska RBI 12,5 mm </t>
  </si>
  <si>
    <t>1.02+1.03:  2,9*6,8</t>
  </si>
  <si>
    <t>1.04:  2,15*1,85</t>
  </si>
  <si>
    <t>1.05:  2,15*1</t>
  </si>
  <si>
    <t>1.06:  2,15*1,75</t>
  </si>
  <si>
    <t>1.07:  2,15*1,75</t>
  </si>
  <si>
    <t>416091071R00</t>
  </si>
  <si>
    <t xml:space="preserve">Příplatek za opláštění niky </t>
  </si>
  <si>
    <t>nika VZT:    1</t>
  </si>
  <si>
    <t>417321414R00</t>
  </si>
  <si>
    <t xml:space="preserve">Ztužující pásy a věnce z betonu železového C 25/30 </t>
  </si>
  <si>
    <t>(10+6,1)*2*0,25*0,3</t>
  </si>
  <si>
    <t>417351115R00</t>
  </si>
  <si>
    <t xml:space="preserve">Bednění ztužujících pásů a věnců - zřízení </t>
  </si>
  <si>
    <t>(10+6,1)*2*0,5</t>
  </si>
  <si>
    <t>(5,2+9,2)*2*0,5</t>
  </si>
  <si>
    <t>(2,8+5,2)*0,25</t>
  </si>
  <si>
    <t>417351116R00</t>
  </si>
  <si>
    <t xml:space="preserve">Bednění ztužujících pásů a věnců - odstranění </t>
  </si>
  <si>
    <t>417361221R00</t>
  </si>
  <si>
    <t xml:space="preserve">Výztuž ztužujících pásů ,věnců a stropů </t>
  </si>
  <si>
    <t>42263528RS1</t>
  </si>
  <si>
    <t xml:space="preserve">Revizní dvířka  do SD podhledu 800x800 mm </t>
  </si>
  <si>
    <t>VZT:   1</t>
  </si>
  <si>
    <t>4 Vodorovné konstrukce</t>
  </si>
  <si>
    <t>564801300U00</t>
  </si>
  <si>
    <t xml:space="preserve">Podklad komunikací štěrkodrti 15cm </t>
  </si>
  <si>
    <t>SP2:  6,4*3</t>
  </si>
  <si>
    <t xml:space="preserve">  (10+6,1)*0,3</t>
  </si>
  <si>
    <t>596215020R00</t>
  </si>
  <si>
    <t xml:space="preserve">Kladení zámkové dlažby tl. 6 cm do drtě tl. 3 cm </t>
  </si>
  <si>
    <t>596215028R00</t>
  </si>
  <si>
    <t xml:space="preserve">Příplatek za více barev dlažby tl. 6 cm, do drtě </t>
  </si>
  <si>
    <t>59245263</t>
  </si>
  <si>
    <t>Dlažba zámková barevná 20x20x6</t>
  </si>
  <si>
    <t>24,03*1,2</t>
  </si>
  <si>
    <t>5 Komunikace</t>
  </si>
  <si>
    <t>61</t>
  </si>
  <si>
    <t>Upravy povrchů vnitřní</t>
  </si>
  <si>
    <t>602012142RT1</t>
  </si>
  <si>
    <t>Omítka štuková tloušťka vrstvy 2 mm</t>
  </si>
  <si>
    <t>1.05:  (2,15+1)*2*0,3</t>
  </si>
  <si>
    <t>1.01:(5,2+2,15)*2*2,3</t>
  </si>
  <si>
    <t>612481211RT2</t>
  </si>
  <si>
    <t>Montáž výztužné sítě (perlinky) do stěrky-stěny včetně výztužné sítě a stěrkového tmelu Baumit</t>
  </si>
  <si>
    <t>příčka 100:(2,15*2,3)*2</t>
  </si>
  <si>
    <t>příčky 150:(5,2+2,15+1+2+2,15)*2,3*2</t>
  </si>
  <si>
    <t>61 Upravy povrchů vnitřní</t>
  </si>
  <si>
    <t>62</t>
  </si>
  <si>
    <t>Úpravy povrchů vnější</t>
  </si>
  <si>
    <t>622311137RT3</t>
  </si>
  <si>
    <t>Zateplovací systém  fasáda, EPS F tl.200 mm s omítkou SilikonTop 3,2 kg/m2, lepidlo</t>
  </si>
  <si>
    <t>(10+6,1)*2*2,2</t>
  </si>
  <si>
    <t>622311515R00</t>
  </si>
  <si>
    <t xml:space="preserve">Izolace suterénu Baumit XPS tl. 160 mm, bez PÚ </t>
  </si>
  <si>
    <t>základy:(10+6,1)*2*0,5</t>
  </si>
  <si>
    <t>622311525RT1</t>
  </si>
  <si>
    <t>Zateplovací systém Baumit, sokl, XPS tl. 160 mm s omítkou GranoporTop 3,1 kg/m2</t>
  </si>
  <si>
    <t>základy:(10+6,1)*2*0,2</t>
  </si>
  <si>
    <t>622401934R00</t>
  </si>
  <si>
    <t xml:space="preserve">Příplatek za pracnost </t>
  </si>
  <si>
    <t>622401939R00</t>
  </si>
  <si>
    <t xml:space="preserve">Příplatek za provedení styku 2 odstínů omítek </t>
  </si>
  <si>
    <t>622471318RP1</t>
  </si>
  <si>
    <t>Nátěr nebo nástřik stěn vnějších, složitost 3 - 4 hmota silikonová</t>
  </si>
  <si>
    <t>SA2:</t>
  </si>
  <si>
    <t>střecha v přesahu:  (3+0,3)*3,6*2</t>
  </si>
  <si>
    <t>Římsa:  (0,3+0,3)*13,3*2</t>
  </si>
  <si>
    <t xml:space="preserve">  (0,3+0,3)*3,6*2</t>
  </si>
  <si>
    <t>62 Úpravy povrchů vnější</t>
  </si>
  <si>
    <t>63</t>
  </si>
  <si>
    <t>Podlahy a podlahové konstrukce</t>
  </si>
  <si>
    <t>631319173R00</t>
  </si>
  <si>
    <t xml:space="preserve">Příplatek za stržení povrchu mazaniny tl. 12 cm </t>
  </si>
  <si>
    <t>632411150RU1</t>
  </si>
  <si>
    <t>Potěr ze SMS , ruční zpracování, tl. 50 mm samonivelační anhydritový potěr 20</t>
  </si>
  <si>
    <t>SP1:   4,9*8,8</t>
  </si>
  <si>
    <t>63 Podlahy a podlahové konstrukce</t>
  </si>
  <si>
    <t>64</t>
  </si>
  <si>
    <t>Výplně otvorů</t>
  </si>
  <si>
    <t>642942111RU4</t>
  </si>
  <si>
    <t>Osazení zárubní dveřních ocelových, pl. do 2,5 m2 včetně dodávky zárubně  80 x 197 x 16 cm</t>
  </si>
  <si>
    <t>1.02:    1</t>
  </si>
  <si>
    <t xml:space="preserve">1.03:    1  </t>
  </si>
  <si>
    <t>64 Výplně otvorů</t>
  </si>
  <si>
    <t>916331111U00</t>
  </si>
  <si>
    <t xml:space="preserve">Osaz zahradní obrubník beton -opěra </t>
  </si>
  <si>
    <t>SP2:  3+6,4+3+10+6,1</t>
  </si>
  <si>
    <t>59217337</t>
  </si>
  <si>
    <t>Obrubník zahradní ABO 5-20 500/50/250 mm</t>
  </si>
  <si>
    <t>(28,5*2)+3</t>
  </si>
  <si>
    <t>941955002R00</t>
  </si>
  <si>
    <t xml:space="preserve">Lešení lehké pomocné, výška podlahy do 1,9 m </t>
  </si>
  <si>
    <t>(10+8)*2*2,3</t>
  </si>
  <si>
    <t>(5,2*9,4)*2</t>
  </si>
  <si>
    <t xml:space="preserve">   4,9*8,8</t>
  </si>
  <si>
    <t>998011001R00</t>
  </si>
  <si>
    <t xml:space="preserve">Přesun hmot pro budovy zděné výšky do 6 m </t>
  </si>
  <si>
    <t>711</t>
  </si>
  <si>
    <t>Izolace proti vodě</t>
  </si>
  <si>
    <t>711111002RZ1</t>
  </si>
  <si>
    <t>Izolace proti vlhk.vodor. nátěr asf.lak za studena 1x nátěr - včetně dodávky asfaltového laku ALN</t>
  </si>
  <si>
    <t>SP1:6,1*10</t>
  </si>
  <si>
    <t xml:space="preserve"> (2,95*0,6)*2</t>
  </si>
  <si>
    <t>711112002RZ1</t>
  </si>
  <si>
    <t>Izolace proti vlhkosti svislá asf. lak, za studena 1x nátěr - včetné dodávky asfaltového laku</t>
  </si>
  <si>
    <t>obvodové zdivo u země: (0,6+8,8+0,6+2,95+0,6+2,95)*2*0,4</t>
  </si>
  <si>
    <t>(4,9*0,4)*2</t>
  </si>
  <si>
    <t>711141559RY1</t>
  </si>
  <si>
    <t>Izolace proti vlhk. vodorovná pásy přitavením 1 vrstva - včetně dod. materiálu</t>
  </si>
  <si>
    <t>711142559RY1</t>
  </si>
  <si>
    <t>Izolace proti vlhkosti svislá pásy přitavením 1 vrstva - včetně dod. materiálu</t>
  </si>
  <si>
    <t>711212000RT1</t>
  </si>
  <si>
    <t xml:space="preserve">Penetrace podkladu pod hydroizolační nátěr,materiá </t>
  </si>
  <si>
    <t>SP1:</t>
  </si>
  <si>
    <t>711212001RT1</t>
  </si>
  <si>
    <t xml:space="preserve">Nátěr hydroizolační těsnicí hmotou proti vlhkosti </t>
  </si>
  <si>
    <t>711212601R00</t>
  </si>
  <si>
    <t xml:space="preserve">Těsnicí pás do spoje podlaha - stěna </t>
  </si>
  <si>
    <t>1.02+1.03:  (2,9+6,8)*2</t>
  </si>
  <si>
    <t>1.04:  (2,15+1,85)*2</t>
  </si>
  <si>
    <t>1.05:  (2,15+1)*2</t>
  </si>
  <si>
    <t>1.06:  (2,15+1,75)*2</t>
  </si>
  <si>
    <t>1.07:  (2,15+1,75)*2</t>
  </si>
  <si>
    <t>774711191U00</t>
  </si>
  <si>
    <t xml:space="preserve">Mtž podložky plovoucí podlahy </t>
  </si>
  <si>
    <t>998711201R00</t>
  </si>
  <si>
    <t xml:space="preserve">Přesun hmot pro izolace proti vodě, výšky do 6 m </t>
  </si>
  <si>
    <t>711 Izolace proti vodě</t>
  </si>
  <si>
    <t>713</t>
  </si>
  <si>
    <t>Izolace tepelné</t>
  </si>
  <si>
    <t>713111111RT2</t>
  </si>
  <si>
    <t>Izolace tepelné stropů vrchem kladené volně 2 vrstvy - materiál ve specifikaci</t>
  </si>
  <si>
    <t>SA1: 9,2*5,2</t>
  </si>
  <si>
    <t>713121121RT1</t>
  </si>
  <si>
    <t>Izolace tepelná podlah na sucho, dvouvrstvá materiál ve specifikaci</t>
  </si>
  <si>
    <t>713731113U00</t>
  </si>
  <si>
    <t xml:space="preserve">Folie Pe -0,2mm </t>
  </si>
  <si>
    <t>28375422</t>
  </si>
  <si>
    <t>Polystyren extrudovaný Plus 100 s lepším Lambda 0,032</t>
  </si>
  <si>
    <t>SP1:(4,9*8,8)*0,08</t>
  </si>
  <si>
    <t>(4,9*8,8)*0,06</t>
  </si>
  <si>
    <t>6,0368*1,1</t>
  </si>
  <si>
    <t>63140103</t>
  </si>
  <si>
    <t>Deska minerální vlákno - podélná TR10  tl. 80 mm</t>
  </si>
  <si>
    <t>SA1: (9,2*5,2)*1,05</t>
  </si>
  <si>
    <t>63140109</t>
  </si>
  <si>
    <t>Deska minerální vlákno - podélná TR10  tl. 200 mm</t>
  </si>
  <si>
    <t>998713201R00</t>
  </si>
  <si>
    <t xml:space="preserve">Přesun hmot pro izolace tepelné, výšky do 6 m </t>
  </si>
  <si>
    <t>713 Izolace tepelné</t>
  </si>
  <si>
    <t>722</t>
  </si>
  <si>
    <t>Zdravotechnika</t>
  </si>
  <si>
    <t>722000111</t>
  </si>
  <si>
    <t>Kanalizace,vodovod,zařizovací předměty dle přílohy</t>
  </si>
  <si>
    <t>998722201R00</t>
  </si>
  <si>
    <t xml:space="preserve">Přesun hmot pro vnitřní vodovod, výšky do 6 m </t>
  </si>
  <si>
    <t>722 Zdravotechnika</t>
  </si>
  <si>
    <t>725</t>
  </si>
  <si>
    <t>Zařizovací předměty</t>
  </si>
  <si>
    <t>725859101R00</t>
  </si>
  <si>
    <t xml:space="preserve">Montáž zařizovacích předmětů </t>
  </si>
  <si>
    <t>44984142</t>
  </si>
  <si>
    <t>Vysoušeč rukou</t>
  </si>
  <si>
    <t>1.06:   1</t>
  </si>
  <si>
    <t>1.07:   1</t>
  </si>
  <si>
    <t>1.04:   1</t>
  </si>
  <si>
    <t>53877554</t>
  </si>
  <si>
    <t>Regál pro uložení čistících prostředků dle PD</t>
  </si>
  <si>
    <t>55149001</t>
  </si>
  <si>
    <t>Zásobník nerez na toaletní papír</t>
  </si>
  <si>
    <t>1.02:   1</t>
  </si>
  <si>
    <t>1.03:   1</t>
  </si>
  <si>
    <t>55149015</t>
  </si>
  <si>
    <t>Zásobník nerez na papírové ručníky</t>
  </si>
  <si>
    <t>55149021</t>
  </si>
  <si>
    <t>Dávkovač tek. mýdla nerez obsah 1,25 l</t>
  </si>
  <si>
    <t>1.06:   2</t>
  </si>
  <si>
    <t>1.07:   2</t>
  </si>
  <si>
    <t>55149034</t>
  </si>
  <si>
    <t>Koš odpadkový nerez na ručníky</t>
  </si>
  <si>
    <t>55149051</t>
  </si>
  <si>
    <t>WC souprava závěsná, nerez  matný</t>
  </si>
  <si>
    <t>1.02:  3</t>
  </si>
  <si>
    <t>1.03:  3</t>
  </si>
  <si>
    <t>1.04:  1</t>
  </si>
  <si>
    <t>55149052</t>
  </si>
  <si>
    <t>Hasící přístroj</t>
  </si>
  <si>
    <t>ks</t>
  </si>
  <si>
    <t>55440112</t>
  </si>
  <si>
    <t>Madlo bílé,dveřní</t>
  </si>
  <si>
    <t>WC invalidé:    2</t>
  </si>
  <si>
    <t>5544887</t>
  </si>
  <si>
    <t>Madlo</t>
  </si>
  <si>
    <t>invalidní WC:</t>
  </si>
  <si>
    <t>WC:    1</t>
  </si>
  <si>
    <t>998725201R00</t>
  </si>
  <si>
    <t xml:space="preserve">Přesun hmot pro zařizovací předměty, výšky do 6 m </t>
  </si>
  <si>
    <t>725 Zařizovací předměty</t>
  </si>
  <si>
    <t>731</t>
  </si>
  <si>
    <t>Vytápění</t>
  </si>
  <si>
    <t>730001111</t>
  </si>
  <si>
    <t xml:space="preserve">Vytápění dle přílohy </t>
  </si>
  <si>
    <t>998731101R00</t>
  </si>
  <si>
    <t xml:space="preserve">Přesun hmot pro vytápění, výšky do 6 m </t>
  </si>
  <si>
    <t>731 Vytápění</t>
  </si>
  <si>
    <t>762341017U00</t>
  </si>
  <si>
    <t xml:space="preserve">Bednění střech OSB 24 sraz krokve </t>
  </si>
  <si>
    <t>SA1:  (13,3*3,6)*2</t>
  </si>
  <si>
    <t>762341114U00</t>
  </si>
  <si>
    <t xml:space="preserve">Bednění střech CETRIS18 sraz krokve </t>
  </si>
  <si>
    <t>762341685U00</t>
  </si>
  <si>
    <t xml:space="preserve">Mtž bednění římsa deska cement P+D </t>
  </si>
  <si>
    <t>762342204RT4</t>
  </si>
  <si>
    <t>Montáž pomocného, rastru včetně dodávky řeziva, latě 4/6 cm</t>
  </si>
  <si>
    <t>římsa:  (0,3+0,3)*13,3*2</t>
  </si>
  <si>
    <t>střecha v přesahu:  (3*3,6)*2</t>
  </si>
  <si>
    <t>Nika VZT:  2,4*1,1</t>
  </si>
  <si>
    <t>762395000R00</t>
  </si>
  <si>
    <t>Spojovací a ochranné prostředky pro tesařské konstrukce</t>
  </si>
  <si>
    <t>krov:  3,85+0,1210</t>
  </si>
  <si>
    <t>OSB:  (95,7*0,024)+(47,84*0,018)</t>
  </si>
  <si>
    <t>Cetris: 44,04*0,018</t>
  </si>
  <si>
    <t>Latě:0,45</t>
  </si>
  <si>
    <t>lávka:  13*0,024</t>
  </si>
  <si>
    <t>762421014U00</t>
  </si>
  <si>
    <t xml:space="preserve">Obložení strop OSB 18 lepená P+D </t>
  </si>
  <si>
    <t>SP1:   5,2*9,2</t>
  </si>
  <si>
    <t>762712110RT2</t>
  </si>
  <si>
    <t>Montáž vázaných konstrukcí hraněných do 120 cm2 včetně dodávky řeziva, fošny 6/14</t>
  </si>
  <si>
    <t>ukončení krovu:  3,6*4</t>
  </si>
  <si>
    <t>762712120R00</t>
  </si>
  <si>
    <t xml:space="preserve">Montáž vázaných konstrukcí hraněných do 224 cm2 </t>
  </si>
  <si>
    <t>krokve:  (3,6*2)*17</t>
  </si>
  <si>
    <t>vrcholová vaznice:  6,65*2</t>
  </si>
  <si>
    <t>kleštiny:  3*22</t>
  </si>
  <si>
    <t xml:space="preserve">   (3,2+3+3,2)*3</t>
  </si>
  <si>
    <t>stojky:  0,95*5</t>
  </si>
  <si>
    <t>762712130R00</t>
  </si>
  <si>
    <t xml:space="preserve">Montáž vázaných konstrukcí hraněných do 288 cm2 </t>
  </si>
  <si>
    <t>Pozednice:  (3,4+3+3,1)*2</t>
  </si>
  <si>
    <t>762811510RT3</t>
  </si>
  <si>
    <t>Montáž záklopu, zapuštěný na sraz, hrubá prkna včetně dodávky řeziva, prkna tl. 24 mm</t>
  </si>
  <si>
    <t>pochozí lávka:  13*1</t>
  </si>
  <si>
    <t>762911124R00</t>
  </si>
  <si>
    <t xml:space="preserve">Impregnace řeziva tlakovakuová Bochemit FORTE </t>
  </si>
  <si>
    <t>krov:  3,971</t>
  </si>
  <si>
    <t>latě:  0,45</t>
  </si>
  <si>
    <t>prkna na lávku:  13*0,024</t>
  </si>
  <si>
    <t>60515510</t>
  </si>
  <si>
    <t>Hranol SM/JD</t>
  </si>
  <si>
    <t>Pozednice: (0,14*0,15)*18</t>
  </si>
  <si>
    <t>krokve:  (0,1*0,14)*122,4</t>
  </si>
  <si>
    <t>vrcholová vaznice:  (0,14*0,16)*13,3</t>
  </si>
  <si>
    <t>kleštiny:  (0,08*0,16)*94,2</t>
  </si>
  <si>
    <t>stojky:  (0,12*0,12)*4,75</t>
  </si>
  <si>
    <t>3,6637*1,05</t>
  </si>
  <si>
    <t>763</t>
  </si>
  <si>
    <t>Dřevostavby</t>
  </si>
  <si>
    <t>763131912U00</t>
  </si>
  <si>
    <t xml:space="preserve">Otvor 0,25m2 SDK podhled </t>
  </si>
  <si>
    <t>Revizní otvor VZT:   1</t>
  </si>
  <si>
    <t>998763201R00</t>
  </si>
  <si>
    <t xml:space="preserve">Přesun hmot pro dřevostavby, výšky do 12 m </t>
  </si>
  <si>
    <t>763 Dřevostavby</t>
  </si>
  <si>
    <t>764212611RT3</t>
  </si>
  <si>
    <t>Krytina TiZn , tl.07 mm,svitky rš. 570 mm, do 10° na dvojitou stojatou drážku,prováděno strojně</t>
  </si>
  <si>
    <t>764242411R00</t>
  </si>
  <si>
    <t xml:space="preserve">Lemování prostupů do průměr 110 mm, TiZn </t>
  </si>
  <si>
    <t>solární panely:</t>
  </si>
  <si>
    <t>nosná konstrukce:  4*2</t>
  </si>
  <si>
    <t>potrubí:   2</t>
  </si>
  <si>
    <t>odvětrání kanalizace:   2</t>
  </si>
  <si>
    <t>764251602RT1</t>
  </si>
  <si>
    <t xml:space="preserve">Žlab podokapní hranatý TiZn rš. 250 mm </t>
  </si>
  <si>
    <t>13,3*2</t>
  </si>
  <si>
    <t>764261430R00</t>
  </si>
  <si>
    <t xml:space="preserve">Střešní poklop z Ti Zn, 60 x 80 cm </t>
  </si>
  <si>
    <t>764292614R00</t>
  </si>
  <si>
    <t xml:space="preserve">Oplech. hřebene TiZn   s odvětráním </t>
  </si>
  <si>
    <t>764511650R00</t>
  </si>
  <si>
    <t xml:space="preserve">Oplechování parapetů TiZn, rš. 330 mm </t>
  </si>
  <si>
    <t>1.01:  2,15+3,2</t>
  </si>
  <si>
    <t>1.02:  1</t>
  </si>
  <si>
    <t>1.03:  1</t>
  </si>
  <si>
    <t>764551401R00</t>
  </si>
  <si>
    <t xml:space="preserve">Odpadní trouby Ti Zn plech, čtyřhranné, str. 75 mm </t>
  </si>
  <si>
    <t>Kanalizace:2</t>
  </si>
  <si>
    <t>765</t>
  </si>
  <si>
    <t>Krytiny tvrdé</t>
  </si>
  <si>
    <t>765901108R00</t>
  </si>
  <si>
    <t xml:space="preserve">Fólie podstřešní paropropustná </t>
  </si>
  <si>
    <t>998765201R00</t>
  </si>
  <si>
    <t xml:space="preserve">Přesun hmot pro krytiny tvrdé, výšky do 6 m </t>
  </si>
  <si>
    <t>765 Krytiny tvrdé</t>
  </si>
  <si>
    <t>766</t>
  </si>
  <si>
    <t>Konstrukce truhlářské</t>
  </si>
  <si>
    <t>766111100R00</t>
  </si>
  <si>
    <t xml:space="preserve">D+M - Sanitární příčky,včetně dveří, </t>
  </si>
  <si>
    <t>1.02 - 1.03:  (1,6*4)+(2,9*3)</t>
  </si>
  <si>
    <t xml:space="preserve"> 15,1*2,1</t>
  </si>
  <si>
    <t>mezi pisoáry:(1*1)*2</t>
  </si>
  <si>
    <t>766601216RT2</t>
  </si>
  <si>
    <t>Těsnění oken.spáry, ostění, PT-Z folie + PP páska folie š.  75 mm; páska tl. 4 mm, š. 15 mm</t>
  </si>
  <si>
    <t>1.01:  2,15+3,2+1,7+1,7</t>
  </si>
  <si>
    <t>1.02:  1+(0,6*2)</t>
  </si>
  <si>
    <t>1.03:  1+(0,6*2)</t>
  </si>
  <si>
    <t>vstup.dveře:(2*2+1)*3</t>
  </si>
  <si>
    <t>(2*2+1)*2</t>
  </si>
  <si>
    <t>766601229RT2</t>
  </si>
  <si>
    <t>Těsnění oken.spáry,parapet,PT folie+PP folie+páska PT-L folie š.75 mm;PP-L folie š.100mm+páska tl.4mm</t>
  </si>
  <si>
    <t>766660722U00</t>
  </si>
  <si>
    <t xml:space="preserve">Mtž dveřní kování </t>
  </si>
  <si>
    <t>766661112R00</t>
  </si>
  <si>
    <t xml:space="preserve">Montáž dveří do zárubně,otevíravých 1kř.do 0,8 m </t>
  </si>
  <si>
    <t>766694113R00</t>
  </si>
  <si>
    <t xml:space="preserve">Montáž parapetních desek š.do 30 cm,dl.do 260 cm </t>
  </si>
  <si>
    <t>1.01:    2</t>
  </si>
  <si>
    <t>766821132U00</t>
  </si>
  <si>
    <t xml:space="preserve">D+M skříně na kancelářské potřeby </t>
  </si>
  <si>
    <t>766825111R00</t>
  </si>
  <si>
    <t xml:space="preserve">D+M vestavěné skříně </t>
  </si>
  <si>
    <t>766825112R00</t>
  </si>
  <si>
    <t xml:space="preserve">D+M skříně na audiotechniku </t>
  </si>
  <si>
    <t>766825121R00</t>
  </si>
  <si>
    <t xml:space="preserve">D+M pult recepční </t>
  </si>
  <si>
    <t>766825122R00</t>
  </si>
  <si>
    <t>D+M pracovní stůl s výsuvem a samostatným kontejnerem na kolečkách</t>
  </si>
  <si>
    <t>766826100R00</t>
  </si>
  <si>
    <t xml:space="preserve">D+M židle pevná stohovatelná </t>
  </si>
  <si>
    <t>766826200R00</t>
  </si>
  <si>
    <t xml:space="preserve">D+M kancelářská židle ergonomická </t>
  </si>
  <si>
    <t>54914636</t>
  </si>
  <si>
    <t>Dveřní kování dle výplně otvorů</t>
  </si>
  <si>
    <t>60780011</t>
  </si>
  <si>
    <t>Parapet interiér Postforming š. 200 mm s nosem</t>
  </si>
  <si>
    <t>61161720</t>
  </si>
  <si>
    <t>Dveře vnitřní hladké plné 1kř. 80x210</t>
  </si>
  <si>
    <t>998766201R00</t>
  </si>
  <si>
    <t xml:space="preserve">Přesun hmot pro truhlářské konstr., výšky do 6 m </t>
  </si>
  <si>
    <t>766 Konstrukce truhlářské</t>
  </si>
  <si>
    <t>767995104R00</t>
  </si>
  <si>
    <t xml:space="preserve">Výroba a montáž kov. atypických konstr. do 50 kg </t>
  </si>
  <si>
    <t>Krov a překlady:    238,8+439,5+272,5+448,2</t>
  </si>
  <si>
    <t>13380525</t>
  </si>
  <si>
    <t>Tyč průřezu I 140, střední, jakost oceli 11373</t>
  </si>
  <si>
    <t>T</t>
  </si>
  <si>
    <t>Krov:  (3,3*4)*0,0143</t>
  </si>
  <si>
    <t>PR1:  (2,8*2)*0,0143</t>
  </si>
  <si>
    <t>13384440</t>
  </si>
  <si>
    <t>Tyč průřezu UPE 160, střední, jakost oceli 11375</t>
  </si>
  <si>
    <t>sloupy:(2,8*2)*2*0,0188</t>
  </si>
  <si>
    <t>Krov:(5,8*2)*0,0188*1,05</t>
  </si>
  <si>
    <t>13480815</t>
  </si>
  <si>
    <t>Tyč průřezu I 200, hrubé, jakost oceli 11373</t>
  </si>
  <si>
    <t>PR2:(5,2*2)*0,02620</t>
  </si>
  <si>
    <t>13485315</t>
  </si>
  <si>
    <t>Tyč průřezu UPE 200 hrubé, jakost oceli 11 375</t>
  </si>
  <si>
    <t>Krov:(5,8*4)*0,0184*1,05</t>
  </si>
  <si>
    <t>769</t>
  </si>
  <si>
    <t>Otvorové prvky z plastu</t>
  </si>
  <si>
    <t>769000010R00</t>
  </si>
  <si>
    <t xml:space="preserve">Montáž  oken s vypěněním </t>
  </si>
  <si>
    <t>1.01:  (2,15+3,2+1,7)*2</t>
  </si>
  <si>
    <t>1.02:  (1+0,6)*2</t>
  </si>
  <si>
    <t>1.03:  (1+0,6)*2</t>
  </si>
  <si>
    <t>769711021R00</t>
  </si>
  <si>
    <t xml:space="preserve">Montáž p vstupních dveří s vypěněním </t>
  </si>
  <si>
    <t>1.01:  (2*2)+1,1</t>
  </si>
  <si>
    <t>1.04:  (2*2)+1,1</t>
  </si>
  <si>
    <t>1.05:  (2*2)+1</t>
  </si>
  <si>
    <t>1.06:  (2*2)+1</t>
  </si>
  <si>
    <t>1.07:  (2*2)+1</t>
  </si>
  <si>
    <t>611101115</t>
  </si>
  <si>
    <t>vstupní dveře 900 x 1970</t>
  </si>
  <si>
    <t>1.05:   1</t>
  </si>
  <si>
    <t>61110116</t>
  </si>
  <si>
    <t>Vstupní dveře 1000 x 1970</t>
  </si>
  <si>
    <t>1.01:   1</t>
  </si>
  <si>
    <t>611101210</t>
  </si>
  <si>
    <t>Plastové okno</t>
  </si>
  <si>
    <t>1.01: (2,5+3,2)*1,7</t>
  </si>
  <si>
    <t>611101211</t>
  </si>
  <si>
    <t>Plastové okno 1x 0,6 m</t>
  </si>
  <si>
    <t>1.02:1*0,6</t>
  </si>
  <si>
    <t>1.03:1*0,6</t>
  </si>
  <si>
    <t>769 Otvorové prvky z plastu</t>
  </si>
  <si>
    <t>771</t>
  </si>
  <si>
    <t>Podlahy z dlaždic a obklady</t>
  </si>
  <si>
    <t>771101210RT1</t>
  </si>
  <si>
    <t>Penetrace podkladu pod dlažby penetrační nátěr</t>
  </si>
  <si>
    <t>1.01:   5,2*2,15</t>
  </si>
  <si>
    <t>771413113U00</t>
  </si>
  <si>
    <t xml:space="preserve">Mtž sokl pórovina rovný lepidlo-120 </t>
  </si>
  <si>
    <t>1.01:  (5,2+2,15)*2</t>
  </si>
  <si>
    <t>771575109RU1</t>
  </si>
  <si>
    <t>Montáž podlah keram.,hladké, tmel, 30x30 cm flex.lepidlo, spár.hmota</t>
  </si>
  <si>
    <t>1.01:  5,2*2,15</t>
  </si>
  <si>
    <t>597642031</t>
  </si>
  <si>
    <t>Dlažba  protiskluz. 300x300x9 mm</t>
  </si>
  <si>
    <t xml:space="preserve">   44,5525*1,1</t>
  </si>
  <si>
    <t>sokl:</t>
  </si>
  <si>
    <t>1.01:  (5,2+2,15)*2*0,12*1,2</t>
  </si>
  <si>
    <t>998771201R00</t>
  </si>
  <si>
    <t xml:space="preserve">Přesun hmot pro podlahy z dlaždic, výšky do 6 m </t>
  </si>
  <si>
    <t>771 Podlahy z dlaždic a obklady</t>
  </si>
  <si>
    <t>781</t>
  </si>
  <si>
    <t>Obklady keramické</t>
  </si>
  <si>
    <t>781475114RT1</t>
  </si>
  <si>
    <t>Obklad vnitřní stěn keramický, do tmele, 20x20 cm lepidlo,spárovací hmota</t>
  </si>
  <si>
    <t>0</t>
  </si>
  <si>
    <t>1.02+1.03:  (2,9+6,8)*2*2,2</t>
  </si>
  <si>
    <t>1.04:  (2,15+1,85)*2*2,3</t>
  </si>
  <si>
    <t>1.05:  (2,15+1)*2*2</t>
  </si>
  <si>
    <t>1.06:  (2,15+1,75)*2*2,3</t>
  </si>
  <si>
    <t>1.07:  (2,15+1,75)*2*2,3</t>
  </si>
  <si>
    <t>-(1*2)*3</t>
  </si>
  <si>
    <t>-(1,1*2)</t>
  </si>
  <si>
    <t>-(0,8*2)*2</t>
  </si>
  <si>
    <t>597813625</t>
  </si>
  <si>
    <t>Obklad standart ve dvou barvách</t>
  </si>
  <si>
    <t>98,16*1,2</t>
  </si>
  <si>
    <t>998781201R00</t>
  </si>
  <si>
    <t xml:space="preserve">Přesun hmot pro obklady keramické, výšky do 6 m </t>
  </si>
  <si>
    <t>781 Obklady keramické</t>
  </si>
  <si>
    <t>783</t>
  </si>
  <si>
    <t>Nátěry</t>
  </si>
  <si>
    <t>783112710R00</t>
  </si>
  <si>
    <t xml:space="preserve">Nátěr olejový OK "A" základní </t>
  </si>
  <si>
    <t>OK krovu:   1</t>
  </si>
  <si>
    <t>783122210R00</t>
  </si>
  <si>
    <t xml:space="preserve">Nátěr syntetický OK "A" 1x + 2x email </t>
  </si>
  <si>
    <t>Ocelové sloupky:  (0,16*4)*2,8*2</t>
  </si>
  <si>
    <t>783 Nátěry</t>
  </si>
  <si>
    <t>784</t>
  </si>
  <si>
    <t>Malby</t>
  </si>
  <si>
    <t>784191101R00</t>
  </si>
  <si>
    <t xml:space="preserve">Penetrace podkladu univerzální  1x </t>
  </si>
  <si>
    <t>stropy:</t>
  </si>
  <si>
    <t>stěny:</t>
  </si>
  <si>
    <t>784195322R00</t>
  </si>
  <si>
    <t xml:space="preserve">Malba tekutá Primalex Fortisimo, barva, 2 x </t>
  </si>
  <si>
    <t>784 Malby</t>
  </si>
  <si>
    <t>787</t>
  </si>
  <si>
    <t>Zasklívání</t>
  </si>
  <si>
    <t>787885795</t>
  </si>
  <si>
    <t xml:space="preserve">D+M zrcadla 600x3x600 mm </t>
  </si>
  <si>
    <t>787885796</t>
  </si>
  <si>
    <t xml:space="preserve">D+M zrcadla nastavitelného </t>
  </si>
  <si>
    <t>998787201R00</t>
  </si>
  <si>
    <t xml:space="preserve">Přesun hmot pro zasklívání, výšky do 6 m </t>
  </si>
  <si>
    <t>787 Zasklívání</t>
  </si>
  <si>
    <t>M21</t>
  </si>
  <si>
    <t>Elektromontáže</t>
  </si>
  <si>
    <t>21000111AJ</t>
  </si>
  <si>
    <t xml:space="preserve">Silnoproud + bleskosvod dle přílohy </t>
  </si>
  <si>
    <t>21000112AJ</t>
  </si>
  <si>
    <t xml:space="preserve">Slaboproud + EZS </t>
  </si>
  <si>
    <t>M21 Elektromontáže</t>
  </si>
  <si>
    <t>M24</t>
  </si>
  <si>
    <t>Montáže vzduchotechnických zařízení</t>
  </si>
  <si>
    <t>24000111</t>
  </si>
  <si>
    <t xml:space="preserve">Vzduchotechnicka dle přílohy </t>
  </si>
  <si>
    <t>M24 Montáže vzduchotechnických zařízení</t>
  </si>
  <si>
    <t>979990001R00</t>
  </si>
  <si>
    <t xml:space="preserve">Poplatek za skládku stavební suti </t>
  </si>
  <si>
    <t>Lednice, Labyrint přírody a ráj zahrad“ – I. Etapa (SO.04)</t>
  </si>
  <si>
    <t>Slaboproud</t>
  </si>
  <si>
    <t>ROZPOČET / VÝKAZ VÝMĚR</t>
  </si>
  <si>
    <t>Práce uvnitř infokiosku - datová síť, osazení racku</t>
  </si>
  <si>
    <t>Popis položky</t>
  </si>
  <si>
    <t>počet</t>
  </si>
  <si>
    <t>mj</t>
  </si>
  <si>
    <t>jedn. cena</t>
  </si>
  <si>
    <t>celkem</t>
  </si>
  <si>
    <t>Panel 2HU, 45 sklon, 48 port, FTP cat6A</t>
  </si>
  <si>
    <t>Panel 2HU, 45 sklon, 50 port, ISDN</t>
  </si>
  <si>
    <t>Kabel UTP cat 6A HFFR-LSZH</t>
  </si>
  <si>
    <t>Patch cord  - 2m  CAT 6A FTP, různé barvy</t>
  </si>
  <si>
    <t>Patch cord optika</t>
  </si>
  <si>
    <t>MONT DVOJZÁSUVKY</t>
  </si>
  <si>
    <t>Dvojzásuvka 2xRJ45 CAT6A UTP</t>
  </si>
  <si>
    <t xml:space="preserve">UKONČENÍ - FORMA NA KABELU CAT6A FTP </t>
  </si>
  <si>
    <t>MĚŘENÍ 1 KABELU CAT6A ,VYHOT. PROTOKOLU</t>
  </si>
  <si>
    <t>Krabice KO 68 pod omítku vč. vysekání lůžka</t>
  </si>
  <si>
    <t>Trubka Monoflex,PVC  pod omítkou 23-29 mm</t>
  </si>
  <si>
    <t>Vodič v trubkovodu AY 2,5</t>
  </si>
  <si>
    <t>AY 2,5 B</t>
  </si>
  <si>
    <t>Rack 30U kompletní, včetně klimatizované chlazené skříně pro postavení  kamkoli, i do venkovního prostoru</t>
  </si>
  <si>
    <t>MONTÁŽ RACKU 30HU, montáž uzem.</t>
  </si>
  <si>
    <t>Panel 5x230V, ochrana proti přepětí, do racku</t>
  </si>
  <si>
    <t>MONTÁŽ PANELU PRO PŘÍVOD 220V</t>
  </si>
  <si>
    <t>Aktivní prvek  24pt 1000Base +převodník na SM</t>
  </si>
  <si>
    <t>CELKEM SOUČET BEZ DPH</t>
  </si>
  <si>
    <t>1 Architektonicko-stavební řešení</t>
  </si>
  <si>
    <t>U částí stavebních objektů, které obsahují list položek, rekapitulace a list krycí jsou tyto v názvu listu označeny jako P,R a K.</t>
  </si>
  <si>
    <t>Labyrint přírody a ráj zahrad - I. etapa</t>
  </si>
  <si>
    <t>Objekt sociálního zázemí</t>
  </si>
  <si>
    <t>ZTI</t>
  </si>
  <si>
    <t>Vypracoval:  R. Mrňák</t>
  </si>
  <si>
    <t>Datum: 12/2013</t>
  </si>
  <si>
    <t>Pos.č.</t>
  </si>
  <si>
    <t>popis výkonu</t>
  </si>
  <si>
    <t>m.j.</t>
  </si>
  <si>
    <t>Cena bez DPH</t>
  </si>
  <si>
    <t>VNITŘNÍ KANALIZACE</t>
  </si>
  <si>
    <t>Potrubí z trub plastových hrdlových, typ HT   DN 50</t>
  </si>
  <si>
    <t>Potrubí z trub plastových hrdlových, typ HT   DN 70</t>
  </si>
  <si>
    <t>Potrubí z trub plastových hrdlových, typ HT   DN 100</t>
  </si>
  <si>
    <t>Odbočky HT</t>
  </si>
  <si>
    <t>Kolena HT</t>
  </si>
  <si>
    <t>Čistící kus  HT</t>
  </si>
  <si>
    <t>Přechody</t>
  </si>
  <si>
    <t>Potrubí z trub plastových hrdlových, typ KG   DN 100</t>
  </si>
  <si>
    <t>Potrubí z trub plastových hrdlových, typ KG   DN 125</t>
  </si>
  <si>
    <t>Potrubí z trub plastových hrdlových, typ KG   DN 150</t>
  </si>
  <si>
    <t>Odbočky KG</t>
  </si>
  <si>
    <t>Kolena KG</t>
  </si>
  <si>
    <t>Přechody KG</t>
  </si>
  <si>
    <t>Umývadlová zápachová uzávěrka</t>
  </si>
  <si>
    <t>Pisoárová zápachová uzávěrka</t>
  </si>
  <si>
    <t>Zápachová uzávěrka pojistného ventilu AN</t>
  </si>
  <si>
    <t>Revizní dvířka plastová 300/300mm</t>
  </si>
  <si>
    <t>Montáž potrubí</t>
  </si>
  <si>
    <t>Zkouška těsnosti</t>
  </si>
  <si>
    <t>Zemní práce (výkopy rýhy pro potrubí, lože, zához)</t>
  </si>
  <si>
    <t>Doprava</t>
  </si>
  <si>
    <t>soub</t>
  </si>
  <si>
    <t>VNITŘNÍ VODOVOD</t>
  </si>
  <si>
    <t>Potrubí z trub plastových, PPR, PN16 20x2,8</t>
  </si>
  <si>
    <t>Potrubí z trub plastových, PPR, PN16 25x3,5</t>
  </si>
  <si>
    <t>Potrubí z trub plastových, PPR, PN16 32x4,4</t>
  </si>
  <si>
    <t>Tvarovky</t>
  </si>
  <si>
    <t>Nástěnné koleno</t>
  </si>
  <si>
    <t>Izolace návleková 20x9</t>
  </si>
  <si>
    <t>Izolace návleková 25x9</t>
  </si>
  <si>
    <t>Izolace návleková 32x9</t>
  </si>
  <si>
    <t>Kohout kulový  DN 20</t>
  </si>
  <si>
    <t>Kohout kulový  DN 25</t>
  </si>
  <si>
    <t>Kohout vypouštěcí  DN 15</t>
  </si>
  <si>
    <t>Kohout kulový výtokový s napojením na hadici  DN 15</t>
  </si>
  <si>
    <t>Kohout kulový rohový  DN 15</t>
  </si>
  <si>
    <t>Nezámrzná výtoková armatura,DN 20</t>
  </si>
  <si>
    <t>Zpětný ventil  DN 20</t>
  </si>
  <si>
    <t>Pojistný ventil</t>
  </si>
  <si>
    <t>Umývadlová stojánková baterie</t>
  </si>
  <si>
    <t>Dřezová nástěnná baterie</t>
  </si>
  <si>
    <t>Pisoárový tlačný ventil</t>
  </si>
  <si>
    <t>Kompletace baterií</t>
  </si>
  <si>
    <t>Připevňovací materiál</t>
  </si>
  <si>
    <t>Tlaková zkouška</t>
  </si>
  <si>
    <t>ZAŘIZOVACÍ PŘEDMĚTY</t>
  </si>
  <si>
    <t>Umývadlo</t>
  </si>
  <si>
    <t>Umývadlo pro TP</t>
  </si>
  <si>
    <t>Klozet závěsný na instalačním modulu</t>
  </si>
  <si>
    <t>Klozet závěsný pro TP na instalačním modulu</t>
  </si>
  <si>
    <t>Výlevka keramická</t>
  </si>
  <si>
    <t>Pisoár</t>
  </si>
  <si>
    <t>Kompletace zařizovacích předmětů</t>
  </si>
  <si>
    <t>VYTÁPĚNÍ</t>
  </si>
  <si>
    <t>Cena</t>
  </si>
  <si>
    <t>Potrubí z mědi, 12x1</t>
  </si>
  <si>
    <t>Potrubí z mědi, 15x1</t>
  </si>
  <si>
    <t>Izolace potrubí  12x10</t>
  </si>
  <si>
    <t>Izolace potrubí  15x10</t>
  </si>
  <si>
    <t>Otopné těleso deskové hl. 66mm, 300 x 1200, výkon 894 W</t>
  </si>
  <si>
    <t>Otopné těleso deskové hl. 66mm, 300 x 1600, výkon 1192 W</t>
  </si>
  <si>
    <t>Otopné těleso deskové hl. 66mm, 600 x 700, výkon 701 W</t>
  </si>
  <si>
    <t>Otopné těleso deskové hl. 66mm,  600 x 1200, výkon 1202 W</t>
  </si>
  <si>
    <t>Termostatická hlavice pro VK</t>
  </si>
  <si>
    <t>Šroubení + svorné šroubení</t>
  </si>
  <si>
    <t>Navrtávací konzoly pro otopná tělesa (sada)</t>
  </si>
  <si>
    <t>Solární systém (zásobník+kolektor+potrubí+přísluš.)</t>
  </si>
  <si>
    <t>Kulový kohout DN 20</t>
  </si>
  <si>
    <t>Zpětná klapka DN 20</t>
  </si>
  <si>
    <t>Vypouštěcí kohout DN 15</t>
  </si>
  <si>
    <t xml:space="preserve">Oběhové čerpadlo </t>
  </si>
  <si>
    <t>Automatický odvzušňovací ventil se zpětnou klapkou DN 10</t>
  </si>
  <si>
    <t>Teploměr</t>
  </si>
  <si>
    <t>Montáž potrubí (Cu)</t>
  </si>
  <si>
    <t>Montáž otopných těles</t>
  </si>
  <si>
    <t>Regulace systému a topná zkouška</t>
  </si>
  <si>
    <t>Název akce: "Lednice"</t>
  </si>
  <si>
    <t>Pozice č.</t>
  </si>
  <si>
    <t>Specifikovaná položka</t>
  </si>
  <si>
    <t>Měr.jed.</t>
  </si>
  <si>
    <t>1.1</t>
  </si>
  <si>
    <t>Větrací jednotka s rekuperací</t>
  </si>
  <si>
    <t>1 ks</t>
  </si>
  <si>
    <t>Vp=510m3/h, 150Pa,  Ne=170W/230V</t>
  </si>
  <si>
    <t>Vo=510m3/h, 150Pa,  Ne=170W/230V</t>
  </si>
  <si>
    <t>elektrický dohřev Ne=0,8kW/230V</t>
  </si>
  <si>
    <t xml:space="preserve">Regulátor </t>
  </si>
  <si>
    <t>Tlumič hluku kruhový</t>
  </si>
  <si>
    <t>4 ks</t>
  </si>
  <si>
    <t>Výústka přívodní komfortní</t>
  </si>
  <si>
    <t>2 ks</t>
  </si>
  <si>
    <t>na kruhové potrubí</t>
  </si>
  <si>
    <t>KV-K2 1025x75 R3</t>
  </si>
  <si>
    <t>KV-K2 325x75 R3</t>
  </si>
  <si>
    <t>Výústka odvodní komfortní</t>
  </si>
  <si>
    <t>11 ks</t>
  </si>
  <si>
    <t>KV-K1 325x75 R3</t>
  </si>
  <si>
    <t>Protidešťová žaluzie</t>
  </si>
  <si>
    <t>Čtyřhranné potrubí z pozinkovaného</t>
  </si>
  <si>
    <t>10 m2</t>
  </si>
  <si>
    <t>plechu (10% tvarovek)</t>
  </si>
  <si>
    <t>Kruhové potrubí z pozinkovaného</t>
  </si>
  <si>
    <t>plechu</t>
  </si>
  <si>
    <t>d 160 (10% tvarovek)</t>
  </si>
  <si>
    <t>13 bm</t>
  </si>
  <si>
    <t>d 200 (40% tvarovek)</t>
  </si>
  <si>
    <t>17.bm</t>
  </si>
  <si>
    <t>d 250 (100% tvarovek)</t>
  </si>
  <si>
    <t>4 bm</t>
  </si>
  <si>
    <t>Tepelná izolace</t>
  </si>
  <si>
    <t>matrace z miner. vlny  tl.80mm s AL folií</t>
  </si>
  <si>
    <t>15 m2</t>
  </si>
  <si>
    <t>Izolace</t>
  </si>
  <si>
    <t>Celkem bez DPH</t>
  </si>
  <si>
    <t>Celkem rozpočet</t>
  </si>
  <si>
    <t>aktualizovaný říjen 2014 -odpočty+přípočty</t>
  </si>
  <si>
    <t>113108309R00</t>
  </si>
  <si>
    <t xml:space="preserve">Odstranění podkladu pl.do 50 m2, živice tl. 9 cm </t>
  </si>
  <si>
    <t>13,3*1,4</t>
  </si>
  <si>
    <t>SP1 + SP2:  (13,3*6,6)*0,3</t>
  </si>
  <si>
    <t>-24,96</t>
  </si>
  <si>
    <t>zemina nové základy:  (3,05*0,7)*1*2</t>
  </si>
  <si>
    <t>základové pasy:(5,1+10,1)*2*0,5*0,9</t>
  </si>
  <si>
    <t>-21,42</t>
  </si>
  <si>
    <t>nové zdivo pařníky: 2,8</t>
  </si>
  <si>
    <t>Patky sloupů:(0,5*0,5)*1,1*2</t>
  </si>
  <si>
    <t>-0,5</t>
  </si>
  <si>
    <t>základ rozvaděč:   (0,8*0,24)*1,1</t>
  </si>
  <si>
    <t>-(30,24*10)</t>
  </si>
  <si>
    <t>-(30,24*2,1)</t>
  </si>
  <si>
    <t>(9,7+5,7)*2*0,3*0,3</t>
  </si>
  <si>
    <t>-8</t>
  </si>
  <si>
    <t>01:  2,45+3,7</t>
  </si>
  <si>
    <t>03:  1</t>
  </si>
  <si>
    <t>07:  1</t>
  </si>
  <si>
    <t>-14,7</t>
  </si>
  <si>
    <t>SP1:(5,2*9,2)*0,1</t>
  </si>
  <si>
    <t>-4,31</t>
  </si>
  <si>
    <t>SP1:(5,2*9,2)*0,0079</t>
  </si>
  <si>
    <t>-0,34</t>
  </si>
  <si>
    <t>základové pasy:(5,1+10,1)*2*0,5*0,5</t>
  </si>
  <si>
    <t>základy novézdivo pařník: (3,05*0,7)*1*2</t>
  </si>
  <si>
    <t>základ rozvaaděč:  (0,8*0,24)*1,1</t>
  </si>
  <si>
    <t>-18,44</t>
  </si>
  <si>
    <t>základy:- (0,6+8,8+0,6)*0,5*2</t>
  </si>
  <si>
    <t>-(4,9*0,5)*2</t>
  </si>
  <si>
    <t>slaboproud:   2</t>
  </si>
  <si>
    <t>(0,5*0,5)*1,1*2</t>
  </si>
  <si>
    <t>nové zdivo pařníků:  (3,05*0,4)*2</t>
  </si>
  <si>
    <t xml:space="preserve">  (3,05*0,54)*2/2</t>
  </si>
  <si>
    <t>311112130RT2</t>
  </si>
  <si>
    <t>Stěna z tvárnic ztraceného bednění, tl. 30 cm zalití tvárnic betonem C 16/20</t>
  </si>
  <si>
    <t>Z3:  (5,7+9,7)*0,4</t>
  </si>
  <si>
    <t>Zdivo z tvárnic plynosylikát. hladkých tl. 25 cm tvárnice P 4 - 500, 599 x 249 x 250 mm</t>
  </si>
  <si>
    <t>obvodové zdivo:  (9,7+5,7)*2*2,5</t>
  </si>
  <si>
    <t>-(1*2,05)*4</t>
  </si>
  <si>
    <t>-(1*0,6)*2</t>
  </si>
  <si>
    <t>-(2,45+3,7)*1,7</t>
  </si>
  <si>
    <t>-(1,1*2,05)</t>
  </si>
  <si>
    <t>-64,36</t>
  </si>
  <si>
    <t>okna:  2*2</t>
  </si>
  <si>
    <t>dveře:  4*2</t>
  </si>
  <si>
    <t>-3</t>
  </si>
  <si>
    <t>Dveře:  2</t>
  </si>
  <si>
    <t>-6</t>
  </si>
  <si>
    <t>Příčky z desek plynosylikát.tl. 10 cm desky P 2 - 500, 599 x 249 x 100 mm</t>
  </si>
  <si>
    <t>mezi místnostmi č.:</t>
  </si>
  <si>
    <t>05/04:  2,15*2,8</t>
  </si>
  <si>
    <t>06/07:  1,8*2,8</t>
  </si>
  <si>
    <t>02/03:  1,75*2,8</t>
  </si>
  <si>
    <t>-4,95</t>
  </si>
  <si>
    <t>Příčky z desek plynosilikát. tl. 15 cm desky P 2 - 500, 599 x 249 x 150 mm</t>
  </si>
  <si>
    <t>mez místnostmi č.:</t>
  </si>
  <si>
    <t>06/05:  2,15*2,8</t>
  </si>
  <si>
    <t>04/02: 2,15*2,8</t>
  </si>
  <si>
    <t>07/03: 2,9*2,8</t>
  </si>
  <si>
    <t>05+04/07+03: 3,3*2,8</t>
  </si>
  <si>
    <t>-28,75</t>
  </si>
  <si>
    <t>4,087*8</t>
  </si>
  <si>
    <t>38</t>
  </si>
  <si>
    <t>01:    11,44</t>
  </si>
  <si>
    <t>-11,18</t>
  </si>
  <si>
    <t>02:     3,85</t>
  </si>
  <si>
    <t>03:     10,84</t>
  </si>
  <si>
    <t>04:     2,36</t>
  </si>
  <si>
    <t>05:     3,87</t>
  </si>
  <si>
    <t>06:     3,96</t>
  </si>
  <si>
    <t>07:     8,59</t>
  </si>
  <si>
    <t>-33,37</t>
  </si>
  <si>
    <t>(9,2+5,7)*2*0,25*0,3</t>
  </si>
  <si>
    <t>-2,42</t>
  </si>
  <si>
    <t>vnější strana:(9,7+5,7)*2*0,5</t>
  </si>
  <si>
    <t>vnitřní strana:(9,2+5,2)*2*0,5</t>
  </si>
  <si>
    <t>-32,5</t>
  </si>
  <si>
    <t>SP2:  3*7,967</t>
  </si>
  <si>
    <t>1,4*10,1</t>
  </si>
  <si>
    <t>0,22*6,595</t>
  </si>
  <si>
    <t>10,1*0,47</t>
  </si>
  <si>
    <t>11,26</t>
  </si>
  <si>
    <t>-24,03</t>
  </si>
  <si>
    <t>55,4989*1,2</t>
  </si>
  <si>
    <t>-28,84</t>
  </si>
  <si>
    <t>998223011R00</t>
  </si>
  <si>
    <t xml:space="preserve">Přesun hmot, pozemní komunikace, kryt dlážděný </t>
  </si>
  <si>
    <t>01:(5,2+2,2)*2*2,6</t>
  </si>
  <si>
    <t>(2,05+1,1+3,7+2,45+1,7+0,35)*0,25</t>
  </si>
  <si>
    <t>-35,70</t>
  </si>
  <si>
    <t>původní rozpočet:-152,64</t>
  </si>
  <si>
    <t>Z1:(6,1+10,1)*2*2,16</t>
  </si>
  <si>
    <t>6,1*1,339</t>
  </si>
  <si>
    <t>-70,84</t>
  </si>
  <si>
    <t xml:space="preserve">Izolace suterénu  XPS tl. 160 mm, bez PÚ </t>
  </si>
  <si>
    <t>základy:-(10+6,1)*2*0,5</t>
  </si>
  <si>
    <t>Zateplovací systém , sokl, XPS tl. 160 mm s omítkou 3,1 kg/m2</t>
  </si>
  <si>
    <t>základy:-(10+6,1)*2*0,2</t>
  </si>
  <si>
    <t>622311526RU1</t>
  </si>
  <si>
    <t>Zateplovací systém, sokl, XPS tl. 180 mm s mozaikovou omítkou 5,5 kg/m2</t>
  </si>
  <si>
    <t>Z2: (5,7+9,7)*2* 0,468</t>
  </si>
  <si>
    <t>631311121R00</t>
  </si>
  <si>
    <t xml:space="preserve">Doplnění mazanin betonem do 1 m2, do tl. 8 cm </t>
  </si>
  <si>
    <t>pařník doplnění podlahy u nového zdiva:  (3,05*0,25)*0,08*2</t>
  </si>
  <si>
    <t>SP1:-(4,9*8,8)*0,1</t>
  </si>
  <si>
    <t>-43,12</t>
  </si>
  <si>
    <t>SP2:0,432+10,1+3+7,45+13,3+1,4+0,432+0,28+6,1+0,467</t>
  </si>
  <si>
    <t>-28,5</t>
  </si>
  <si>
    <t>90</t>
  </si>
  <si>
    <t>-60</t>
  </si>
  <si>
    <t>SP1:5,7*9,7</t>
  </si>
  <si>
    <t>patky: (0,5*0,5)*2</t>
  </si>
  <si>
    <t>-64,54</t>
  </si>
  <si>
    <t>obvodové zdivo u země:(6,1+9,7)*2*0,8</t>
  </si>
  <si>
    <t>-17,12</t>
  </si>
  <si>
    <t>711132311R00</t>
  </si>
  <si>
    <t xml:space="preserve">Prov. izolace nopovou fólií svisle, vč.uchyc.prvků </t>
  </si>
  <si>
    <t>-33,3725</t>
  </si>
  <si>
    <t>-49,3</t>
  </si>
  <si>
    <t>1.01:-(5,2*2,15)</t>
  </si>
  <si>
    <t>713131131R00</t>
  </si>
  <si>
    <t xml:space="preserve">Izolace tepelná stěn lepením </t>
  </si>
  <si>
    <t>Z3: (5,7+9,7)*2*0,482</t>
  </si>
  <si>
    <t>(44,91*0,14)*1,1</t>
  </si>
  <si>
    <t>-6,64</t>
  </si>
  <si>
    <t>28375468</t>
  </si>
  <si>
    <t>Deska polystyrenová XPS Austrotherm TOP P GK 180mm</t>
  </si>
  <si>
    <t>Z3:  (5,7+9,7)*2*0,482*1,2</t>
  </si>
  <si>
    <t>SA1+SA1a+SA1b+SA2+SA3:      (13,3*3,25)*2</t>
  </si>
  <si>
    <t>-95,76</t>
  </si>
  <si>
    <t xml:space="preserve">Bednění střech cementotřískové desky18 sraz krokve </t>
  </si>
  <si>
    <t>střecha v přesahu:  -(3+0,3)*3,6*2</t>
  </si>
  <si>
    <t>SA2+SA3:</t>
  </si>
  <si>
    <t xml:space="preserve">  (0,3+0,3)*3,25*2</t>
  </si>
  <si>
    <t>střecha v přesahu:  3*6,5</t>
  </si>
  <si>
    <t>štít :  1,2*10</t>
  </si>
  <si>
    <t>-44,52</t>
  </si>
  <si>
    <t>762420011U00</t>
  </si>
  <si>
    <t xml:space="preserve">Obložení strop cementotřískové desky 12 sraz šroub </t>
  </si>
  <si>
    <t>SA2:  3*6,5</t>
  </si>
  <si>
    <t>762430015U00</t>
  </si>
  <si>
    <t xml:space="preserve">Obložení stěn cementotřískové desky18 sraz šroub </t>
  </si>
  <si>
    <t>štít:  1,2*6,4</t>
  </si>
  <si>
    <t>-3,2*1</t>
  </si>
  <si>
    <t>762712110R00</t>
  </si>
  <si>
    <t xml:space="preserve">Montáž vázaných konstrukcí hraněných do 120 cm2 </t>
  </si>
  <si>
    <t>doplňkový profil:6,4+6,8</t>
  </si>
  <si>
    <t>Montáž vázaných konstrukcí hraněných do 120 cm2 včetně dodávky řeziva, fošny 6/12</t>
  </si>
  <si>
    <t>SA2+SA3:   4*4,5</t>
  </si>
  <si>
    <t>60510013</t>
  </si>
  <si>
    <t>Lať střešní profil smrkový 50/80 mm  dl = 3 - 5 m</t>
  </si>
  <si>
    <t>doplňkový profil:   6,8*1,05</t>
  </si>
  <si>
    <t>60510065</t>
  </si>
  <si>
    <t>Lať profil dřevěný 70/50 mm l = 3 m a výše</t>
  </si>
  <si>
    <t>doplňkový profil:   6,4*1,05</t>
  </si>
  <si>
    <t>764172125U00</t>
  </si>
  <si>
    <t xml:space="preserve">Sněhová zábrana </t>
  </si>
  <si>
    <t>K5:   26,6</t>
  </si>
  <si>
    <t>764211669U00</t>
  </si>
  <si>
    <t>Struktuovaná nopová rohož,dělící vrstva mezi podkladem a plechovou střechou</t>
  </si>
  <si>
    <t>K4:</t>
  </si>
  <si>
    <t>764231420R00</t>
  </si>
  <si>
    <t xml:space="preserve">Okapnice Ti Zn </t>
  </si>
  <si>
    <t>K2:   30,59</t>
  </si>
  <si>
    <t>764251632R00</t>
  </si>
  <si>
    <t xml:space="preserve">Čelo žlabu TiZn  pro rš.250 mm </t>
  </si>
  <si>
    <t>K7:   2</t>
  </si>
  <si>
    <t>764252333U00</t>
  </si>
  <si>
    <t xml:space="preserve">Žlabový kotlík TIZn </t>
  </si>
  <si>
    <t>K8:   2</t>
  </si>
  <si>
    <t>764430291R00</t>
  </si>
  <si>
    <t xml:space="preserve">Montáž oplechování zdí Pz,materiál stávající </t>
  </si>
  <si>
    <t>Pařník nové zdivo:  (1,7*2)*2</t>
  </si>
  <si>
    <t>K1:9,4875</t>
  </si>
  <si>
    <t>-7,35</t>
  </si>
  <si>
    <t>k10:2,45</t>
  </si>
  <si>
    <t>-2</t>
  </si>
  <si>
    <t>764551552R00</t>
  </si>
  <si>
    <t xml:space="preserve">Odskok o 200,délka 700,průměr 80 TINz tl.07 mm </t>
  </si>
  <si>
    <t>K9:   2</t>
  </si>
  <si>
    <t>765331864R00</t>
  </si>
  <si>
    <t xml:space="preserve">Ochranná mřížka proti ptákům šířky 100 mm </t>
  </si>
  <si>
    <t>K3:   26,6</t>
  </si>
  <si>
    <t>I1: 2,9*1,85</t>
  </si>
  <si>
    <t>(1,6*1,5)*2</t>
  </si>
  <si>
    <t>I2:(1,6*2)*1,5</t>
  </si>
  <si>
    <t>2,9*1,85</t>
  </si>
  <si>
    <t>I3:0,7*0,4</t>
  </si>
  <si>
    <t>-33,71</t>
  </si>
  <si>
    <t>01:  (0,6*2+1)*2</t>
  </si>
  <si>
    <t>02:  1,7+2,45</t>
  </si>
  <si>
    <t>03:  3,7+1,7</t>
  </si>
  <si>
    <t>D01:  2,05*2+1,1</t>
  </si>
  <si>
    <t>D02:  2,05*2+1</t>
  </si>
  <si>
    <t>D03:  2,05*2+1</t>
  </si>
  <si>
    <t>D04:  2,05*2+1</t>
  </si>
  <si>
    <t>-38,15</t>
  </si>
  <si>
    <t>01:  1*2</t>
  </si>
  <si>
    <t>02:  2,45</t>
  </si>
  <si>
    <t>03:  3,7</t>
  </si>
  <si>
    <t>766825222</t>
  </si>
  <si>
    <t xml:space="preserve">Skříň kancelářská - šatní skříň uzamykatelná </t>
  </si>
  <si>
    <t>M2a:    1</t>
  </si>
  <si>
    <t>766825223</t>
  </si>
  <si>
    <t xml:space="preserve">Skříň kancelářská -prezentační </t>
  </si>
  <si>
    <t>M2b:   2</t>
  </si>
  <si>
    <t>766825224</t>
  </si>
  <si>
    <t xml:space="preserve">Skříň kancelářská na audiotechniku </t>
  </si>
  <si>
    <t>M3:   2</t>
  </si>
  <si>
    <t>01:  (2,45+3,7)*1,1</t>
  </si>
  <si>
    <t>-5,35</t>
  </si>
  <si>
    <t>76762887</t>
  </si>
  <si>
    <t xml:space="preserve">Úprava krycích panelů na pařníky </t>
  </si>
  <si>
    <t xml:space="preserve">Přesun hmot pro zámečnické konstr. </t>
  </si>
  <si>
    <t>01:  (0,6+1)*2*2</t>
  </si>
  <si>
    <t>02:  (2,45+1,7)*2</t>
  </si>
  <si>
    <t>03:  (3,7+1,7)*2</t>
  </si>
  <si>
    <t>-20,50</t>
  </si>
  <si>
    <t>D01:  1,1+2,05+2,05</t>
  </si>
  <si>
    <t>D02:  (1+2,05+2,05)*2</t>
  </si>
  <si>
    <t>D03:  1+2,05+2,05</t>
  </si>
  <si>
    <t>D04:  1+2,05+2,05</t>
  </si>
  <si>
    <t>-25,20</t>
  </si>
  <si>
    <t>55340754</t>
  </si>
  <si>
    <t>Dveře vstupní hliníkové 1000/2050 mm spodní část plná 2/3</t>
  </si>
  <si>
    <t>D02:   2</t>
  </si>
  <si>
    <t>D03:  1</t>
  </si>
  <si>
    <t>D04:  1</t>
  </si>
  <si>
    <t>55340755</t>
  </si>
  <si>
    <t>Dveře vstupní hliníkové 1100/2050 mm prosklené 2/3</t>
  </si>
  <si>
    <t>D01:   1</t>
  </si>
  <si>
    <t>Plastové okno dle tabulky prvků:</t>
  </si>
  <si>
    <t>01:  (0,6*1)*2</t>
  </si>
  <si>
    <t>02:  2,45*1,7</t>
  </si>
  <si>
    <t>03:  3,7*1,7</t>
  </si>
  <si>
    <t>-9,69</t>
  </si>
  <si>
    <t>1.02:-(1*0,6)</t>
  </si>
  <si>
    <t>1.03:-(1*0,6)</t>
  </si>
  <si>
    <t>-44,5525</t>
  </si>
  <si>
    <t>01:  (5,2+2,2)*2</t>
  </si>
  <si>
    <t>-44,55</t>
  </si>
  <si>
    <t>(14,8*0,1)*1,2</t>
  </si>
  <si>
    <t>44,91*1,05</t>
  </si>
  <si>
    <t>-51,1246</t>
  </si>
  <si>
    <t>02:(1,75+2,2)*2*2,3</t>
  </si>
  <si>
    <t>03:(2,9+3,738)*2*2,3</t>
  </si>
  <si>
    <t>04:(1,1+2,15)*2*2,3</t>
  </si>
  <si>
    <t>05:(1,8+2,15)*2*2,6</t>
  </si>
  <si>
    <t>06:(1,8+2,15)*2*2,6</t>
  </si>
  <si>
    <t>07:(2,9+3,252)*2*2,6</t>
  </si>
  <si>
    <t>-98,16</t>
  </si>
  <si>
    <t>136,7252*1,05</t>
  </si>
  <si>
    <t>-117,79</t>
  </si>
  <si>
    <t>Stropy:</t>
  </si>
  <si>
    <t>stěny.:</t>
  </si>
  <si>
    <t>01:(5,2*2,2)*2,3</t>
  </si>
  <si>
    <t>-80,25</t>
  </si>
  <si>
    <t xml:space="preserve">Malba tekutá , barva, 2 x </t>
  </si>
  <si>
    <t>Datum: 10/2014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</si>
  <si>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</si>
  <si>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</si>
  <si>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</si>
  <si>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</si>
  <si>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</si>
  <si>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</si>
  <si>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</si>
  <si>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</si>
  <si>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</si>
  <si>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</si>
  <si>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</si>
  <si>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T-12</t>
  </si>
  <si>
    <t>T-13</t>
  </si>
  <si>
    <t>T-14</t>
  </si>
  <si>
    <t>T-15</t>
  </si>
  <si>
    <t>T-16</t>
  </si>
  <si>
    <t>T-17</t>
  </si>
  <si>
    <t>T-18</t>
  </si>
  <si>
    <t>T-19</t>
  </si>
  <si>
    <t>T-20</t>
  </si>
  <si>
    <t>T-21</t>
  </si>
  <si>
    <t xml:space="preserve">Větrací jednotka spro přívod a odvod </t>
  </si>
  <si>
    <t>vzduchu s rekuperací a elektrickým</t>
  </si>
  <si>
    <t>ohřívačem v podstropním provedení</t>
  </si>
  <si>
    <t>Regulátor teploty a výkonu</t>
  </si>
  <si>
    <t>Tlumič hluku kruhový  d200- délka 600</t>
  </si>
  <si>
    <t xml:space="preserve">1025x75 </t>
  </si>
  <si>
    <t>325x75</t>
  </si>
  <si>
    <t>na hranaté potrubí</t>
  </si>
  <si>
    <t>225x125</t>
  </si>
  <si>
    <t>425x125</t>
  </si>
  <si>
    <t>5 ks</t>
  </si>
  <si>
    <t>7 ks</t>
  </si>
  <si>
    <t>Výfuková hlavice - komfortní provedení</t>
  </si>
  <si>
    <t>d200</t>
  </si>
  <si>
    <t>Protidešťová žaluzie 315x315</t>
  </si>
  <si>
    <t>vč. síta proti hmyzu</t>
  </si>
  <si>
    <t>Zpětná klapka d200</t>
  </si>
  <si>
    <t>Neobsazeno</t>
  </si>
  <si>
    <t>13</t>
  </si>
  <si>
    <t>14</t>
  </si>
  <si>
    <t>9 m2</t>
  </si>
  <si>
    <t>vč. montážního materiálu</t>
  </si>
  <si>
    <t>15</t>
  </si>
  <si>
    <t>Kruhové SPIRO  potrubí z pozinkovaného</t>
  </si>
  <si>
    <t>d 150 (20% tvarovek)</t>
  </si>
  <si>
    <t>8 bm</t>
  </si>
  <si>
    <t>13.bm</t>
  </si>
  <si>
    <t>Tepelná a hluková izolace</t>
  </si>
  <si>
    <t xml:space="preserve">matrace z minerální plsti tl.80mm </t>
  </si>
  <si>
    <t>14 m2</t>
  </si>
  <si>
    <t>s AL folii</t>
  </si>
  <si>
    <t>celkem rozpočet</t>
  </si>
  <si>
    <t>celkem PP/rozpočet</t>
  </si>
  <si>
    <t>K-1</t>
  </si>
  <si>
    <t>Potrubí z trub plastových hrdlových, typ HT   DN 32</t>
  </si>
  <si>
    <t>K-2</t>
  </si>
  <si>
    <t>K-3</t>
  </si>
  <si>
    <t>K-4</t>
  </si>
  <si>
    <t>K-5</t>
  </si>
  <si>
    <t>K-6</t>
  </si>
  <si>
    <t>K-7</t>
  </si>
  <si>
    <t>Přechody HT</t>
  </si>
  <si>
    <t>K-8</t>
  </si>
  <si>
    <t>K-9</t>
  </si>
  <si>
    <t>K-10</t>
  </si>
  <si>
    <t>K-11</t>
  </si>
  <si>
    <t>K-12</t>
  </si>
  <si>
    <t>K-13</t>
  </si>
  <si>
    <t>K-14</t>
  </si>
  <si>
    <t>Podlahová vpust typu Primus se svislým odtokem</t>
  </si>
  <si>
    <t>K-15</t>
  </si>
  <si>
    <t>K-16</t>
  </si>
  <si>
    <t>K-17</t>
  </si>
  <si>
    <t>K-18</t>
  </si>
  <si>
    <t>K-19</t>
  </si>
  <si>
    <t>K-20</t>
  </si>
  <si>
    <t>Revizní šachta plastová DN600/1120mm</t>
  </si>
  <si>
    <t>K-21</t>
  </si>
  <si>
    <t>K-22</t>
  </si>
  <si>
    <t>K-23</t>
  </si>
  <si>
    <t>K-24</t>
  </si>
  <si>
    <t>V-1</t>
  </si>
  <si>
    <t>Potrubí z trub plastových, PPR, PN16 16x2,3</t>
  </si>
  <si>
    <t>V-2</t>
  </si>
  <si>
    <t>V-3</t>
  </si>
  <si>
    <t>V-4</t>
  </si>
  <si>
    <t>V-5</t>
  </si>
  <si>
    <t>V-6</t>
  </si>
  <si>
    <t>V-7</t>
  </si>
  <si>
    <t>Izolace návleková 16x9</t>
  </si>
  <si>
    <t>V-8</t>
  </si>
  <si>
    <t>V-9</t>
  </si>
  <si>
    <t>V-10</t>
  </si>
  <si>
    <t>V-11</t>
  </si>
  <si>
    <t>V-12</t>
  </si>
  <si>
    <t>V-13</t>
  </si>
  <si>
    <t>V-14</t>
  </si>
  <si>
    <t>V-15</t>
  </si>
  <si>
    <t>V-16</t>
  </si>
  <si>
    <t>V-17</t>
  </si>
  <si>
    <t>V-18</t>
  </si>
  <si>
    <t>V-19</t>
  </si>
  <si>
    <t>V-20</t>
  </si>
  <si>
    <t>V-21</t>
  </si>
  <si>
    <t>Pneumatické oddálené splachování</t>
  </si>
  <si>
    <t>V-22</t>
  </si>
  <si>
    <t>V-23</t>
  </si>
  <si>
    <t>V-24</t>
  </si>
  <si>
    <t>V-25</t>
  </si>
  <si>
    <t>Napojení nového potrubí KG na stávající kanalizaci KT</t>
  </si>
  <si>
    <t>V-26</t>
  </si>
  <si>
    <t>V-27</t>
  </si>
  <si>
    <t>Z-1</t>
  </si>
  <si>
    <t>Z-2</t>
  </si>
  <si>
    <t>Z-3</t>
  </si>
  <si>
    <t>Z-4</t>
  </si>
  <si>
    <t>Z-5</t>
  </si>
  <si>
    <t>Z-6</t>
  </si>
  <si>
    <t>Z-7</t>
  </si>
  <si>
    <t xml:space="preserve">Název akce:    </t>
  </si>
  <si>
    <t>DVZ</t>
  </si>
  <si>
    <t>Hygienické zařízení a pokladna - elektro+hromosvod</t>
  </si>
  <si>
    <t>Vypracoval:  ing. Jiří Sklenář</t>
  </si>
  <si>
    <t>jedn.cena</t>
  </si>
  <si>
    <t>dle rozpočtu</t>
  </si>
  <si>
    <t>méně / více PP</t>
  </si>
  <si>
    <t>nové položky PP</t>
  </si>
  <si>
    <t>odpočty / přípočty PP</t>
  </si>
  <si>
    <t>Montáž tyčí jímacích délky do 3 m na střešní hřeben</t>
  </si>
  <si>
    <t>tyč jímací s rovným koncem JR 1,5 1500 mm FeZn</t>
  </si>
  <si>
    <t>cena dle  původního rozpočtu celkem celkem</t>
  </si>
  <si>
    <t>odpočty a přípočty celkem</t>
  </si>
  <si>
    <t>nové položky celkem</t>
  </si>
  <si>
    <t>cena celková finální</t>
  </si>
  <si>
    <t>Lednice, Labyrint přírody a ráj zahrad“ – I. Etapa</t>
  </si>
  <si>
    <t>Lednice, Labyrint přírody a ráj zahrad“ – I. etapa</t>
  </si>
  <si>
    <t>SO04 - hygienické zázemí a pokladna - infokiosek</t>
  </si>
  <si>
    <t>3.4.4 - sklabopdoud</t>
  </si>
  <si>
    <t>Trubka Monoflex,PVC  pod omítkou 23-50 mm</t>
  </si>
  <si>
    <t>MONTÁŽ RACKU, montáž uzem.</t>
  </si>
  <si>
    <t>Převodník 1Gbps - metalika na optiku, včetně potřebných napaječů, standardní provedení, do tracku</t>
  </si>
  <si>
    <t>MIS200, protahovací skřiň, D+M, úprázdná</t>
  </si>
  <si>
    <t>pásek 10x2 pro zakončení, včetně držáku</t>
  </si>
  <si>
    <t>ranžírvání telefonů (na obou koncích tlf kabelu, včetně pomocného drátu</t>
  </si>
  <si>
    <t>hod</t>
  </si>
  <si>
    <t>Rack 20U kompletní, nástěnná montáž</t>
  </si>
  <si>
    <t>SO.05</t>
  </si>
  <si>
    <t>139601101R00</t>
  </si>
  <si>
    <t xml:space="preserve">Ruční výkop jam, rýh a šachet v hornině tř. 1 - 2 </t>
  </si>
  <si>
    <t>lavička:  (0,3*0,3)*0,5*2*50</t>
  </si>
  <si>
    <t>infopanely:  (0,3*0,3)*0,9*13*2</t>
  </si>
  <si>
    <t>odpočet patek kaše: -(0,3*0,3)*0,5*5</t>
  </si>
  <si>
    <t>odpočet původní patky lavičky: -(0,3*0,3)*0,5*23</t>
  </si>
  <si>
    <t>162201102R00</t>
  </si>
  <si>
    <t xml:space="preserve">Vodorovné přemístění výkopku z hor.1-4 do 50 m </t>
  </si>
  <si>
    <t>162701105R08</t>
  </si>
  <si>
    <t>Vodorovné přemístění výkopku z hor.1-4 do 10000 m kapacita 8 t</t>
  </si>
  <si>
    <t>199000002R00</t>
  </si>
  <si>
    <t xml:space="preserve">Poplatek za skládku horniny 1- 4 </t>
  </si>
  <si>
    <t>998222011R00</t>
  </si>
  <si>
    <t xml:space="preserve">Přesun hmot, pozemní komunikace, kryt z kameniva </t>
  </si>
  <si>
    <t>76725811AJ</t>
  </si>
  <si>
    <t>Kotvící materiál  na lavičky,koše - závitová tyč 12 matky,podložky,chemická kotva,vrtání pro kotv.</t>
  </si>
  <si>
    <t>kpl</t>
  </si>
  <si>
    <t>767920778JA0</t>
  </si>
  <si>
    <t xml:space="preserve">Montáž laviček parkových </t>
  </si>
  <si>
    <t>592891000</t>
  </si>
  <si>
    <t>Lavička  Akátová dle PD</t>
  </si>
  <si>
    <t>05 Městský mobiliář</t>
  </si>
  <si>
    <t>05  Městský mobiliář</t>
  </si>
  <si>
    <t>patky lavičky:  (0,3*0,3)*0,5*23</t>
  </si>
  <si>
    <t>patky koše:  (0,3*0,3)*0,5*5</t>
  </si>
  <si>
    <t>767920179AJ0</t>
  </si>
  <si>
    <t xml:space="preserve">Montáž  odpadkový koš </t>
  </si>
  <si>
    <t>zahrada:   23</t>
  </si>
  <si>
    <t>55149032</t>
  </si>
  <si>
    <t>Koš odpadkový drátěná konstrukce s plechovou nádobou povrchová úprava žárově zinkováno</t>
  </si>
  <si>
    <t>s rozpočtem dotačním, který prováděcímu projektu předcházel, v barvě zelené a s písmenem "r" na začátku listu.</t>
  </si>
  <si>
    <t>Z tohoto důvodu je nutné nacenit všechny v souboru uvedené listy.</t>
  </si>
  <si>
    <t>Indexování listů odpovídá číslování v této rekapitulaci.</t>
  </si>
  <si>
    <t>Název akce:</t>
  </si>
  <si>
    <t>Labyrint přírody a ráj zahrad ZF Lednice</t>
  </si>
  <si>
    <t>TEMATICKÉ ZAHRADY - 1. ETAPA</t>
  </si>
  <si>
    <t>Investor:</t>
  </si>
  <si>
    <t>Zpracovatel:</t>
  </si>
  <si>
    <t>ing.Novotný</t>
  </si>
  <si>
    <t>Datum:</t>
  </si>
  <si>
    <t>prosinec 2013</t>
  </si>
  <si>
    <t>S O U H R N N Ý   R O Z P O Č E T</t>
  </si>
  <si>
    <t>1. ZO.01 Zahrada stříbrná - mediterán</t>
  </si>
  <si>
    <t>2. ZO.02 Klasická anglická zahrada</t>
  </si>
  <si>
    <t>3. ZO.03 Zahrada pivoněk, kosatců a ibišků</t>
  </si>
  <si>
    <t>4. ZO.04 Zahrada travin a stepních společenstev</t>
  </si>
  <si>
    <t>5. ZO.05 Zahrada polostínu a tónů zelené</t>
  </si>
  <si>
    <t>6. ZO.06 Zahrada účelová</t>
  </si>
  <si>
    <t>7. ZO.07 Vodní zahrada - tůň a mokřad</t>
  </si>
  <si>
    <t>8. ZO.08 Zahrada barev</t>
  </si>
  <si>
    <t>9. ZO.09 Kuchyňská zahrada</t>
  </si>
  <si>
    <t>10. ZO.10 Bílá zahrada</t>
  </si>
  <si>
    <t>11. ZO.11 Rozárium - zahrada růží</t>
  </si>
  <si>
    <t>12. ZO.13 Parkový areál</t>
  </si>
  <si>
    <t>c e l k e m Kč bez DPH:</t>
  </si>
  <si>
    <t>21% DPH</t>
  </si>
  <si>
    <t>c e l k e m Kč s 21% DPH</t>
  </si>
  <si>
    <t>ing.Novotný / Ing. Marek</t>
  </si>
  <si>
    <t>říjen 2014</t>
  </si>
  <si>
    <t>c e l k e m PP Kč bez DPH:</t>
  </si>
  <si>
    <t>PP 21% DPH</t>
  </si>
  <si>
    <t>c e l k e m PP Kč s 21% DPH</t>
  </si>
  <si>
    <t>k celkové rekapitulaci ještě patří samostatné listy k jednotlivým zahradám</t>
  </si>
  <si>
    <t>poznámka:</t>
  </si>
  <si>
    <t>SO.06 Tématické zahrady, vegetační úpravy</t>
  </si>
  <si>
    <t>132111312U00</t>
  </si>
  <si>
    <t xml:space="preserve">Rýhy ručně š 35cm, hl 20cm, tř.1 </t>
  </si>
  <si>
    <t>68*2,5</t>
  </si>
  <si>
    <t>vykopaná zemina.:(0,35*0,15)*170</t>
  </si>
  <si>
    <t>zásyp: -7,395</t>
  </si>
  <si>
    <t>vykopaná zemina.:(0,35*0,20)*170</t>
  </si>
  <si>
    <t>175101201R00</t>
  </si>
  <si>
    <t xml:space="preserve">Obsyp objektu bez prohození sypaniny </t>
  </si>
  <si>
    <t>obsyp podhrabové desky:(0,15*0,145)*2*170</t>
  </si>
  <si>
    <t>434191433R00</t>
  </si>
  <si>
    <t xml:space="preserve">Osazení podhrabové desky </t>
  </si>
  <si>
    <t>59233174</t>
  </si>
  <si>
    <t>Deska plotová podhrabová 200x60x2500mm</t>
  </si>
  <si>
    <t>99801771R00</t>
  </si>
  <si>
    <t xml:space="preserve">Přesun hmot pro budovy z bloků </t>
  </si>
  <si>
    <t>7670001118AJ</t>
  </si>
  <si>
    <t xml:space="preserve">Zinkovna </t>
  </si>
  <si>
    <t>Držák podhrabové desky:(0,4*2)*68*7,09</t>
  </si>
  <si>
    <t>767995101R00</t>
  </si>
  <si>
    <t xml:space="preserve">Výroba a montáž kov. atypických konstr. do 5 kg </t>
  </si>
  <si>
    <t>13384015</t>
  </si>
  <si>
    <t>Tyč průřezu U  65, střední, jakost oceli 10000</t>
  </si>
  <si>
    <t>držák podhrabové desky:(0,3*2)*68*0,00709*1,1</t>
  </si>
  <si>
    <t>55342364</t>
  </si>
  <si>
    <t>55342366</t>
  </si>
  <si>
    <t>(205-69)+5</t>
  </si>
  <si>
    <t>55342368</t>
  </si>
  <si>
    <t>Sloupek plotový  ZN 2500 mm+3 obj</t>
  </si>
  <si>
    <t xml:space="preserve">Přesun hmot pro zámečnické konstr., </t>
  </si>
  <si>
    <t>DAMEC - projektová a konzultační kancelář KRAJINÁŘSKÉ ARCHITEKTURY</t>
  </si>
  <si>
    <t>VRN 2%</t>
  </si>
  <si>
    <t xml:space="preserve">Ceny jsou dle ceníku ÚRS </t>
  </si>
  <si>
    <t>Nabídkové ceny jsou dle aktuální cenové relace na trhu</t>
  </si>
  <si>
    <t xml:space="preserve">Vypracoval: </t>
  </si>
  <si>
    <t>Ing. Eva Damcová, Zdena Vybíralová</t>
  </si>
  <si>
    <t>3 zeleň</t>
  </si>
  <si>
    <t>MENDELOVA UNIVERZITA, Zahradnická fakulta</t>
  </si>
  <si>
    <t>Zemědělská 1, 6013 00 Brno</t>
  </si>
  <si>
    <t>V ceně sypkých materiálů je započtena doprava</t>
  </si>
  <si>
    <t>Všechny uvedené ceny jsou bez DPH.</t>
  </si>
  <si>
    <t>SO.07 Zahrada + napojení zázemí</t>
  </si>
  <si>
    <t>Inženýrské sítě</t>
  </si>
  <si>
    <t>KANALIZACE</t>
  </si>
  <si>
    <t>Potrubí z trub kameninových hrdlových   DN 150</t>
  </si>
  <si>
    <t>Potrubí z trub kameninových hrdlových   DN 200</t>
  </si>
  <si>
    <t>Potrubí z trub kameninových hrdlových   DN 300</t>
  </si>
  <si>
    <t>Potrubí z trub kameninových hrdlových   DN 400</t>
  </si>
  <si>
    <t>Odbočky KT</t>
  </si>
  <si>
    <t>Plastová šachta DN600, do 3m, lit. poklop</t>
  </si>
  <si>
    <t>ŽB šachta  skružová DN1000, do 3m, lit. poklop</t>
  </si>
  <si>
    <t>ŽB uliční vpust, boční výtok DN150</t>
  </si>
  <si>
    <t>Demontáž potrubí kameninového v zemi, včetně šachet</t>
  </si>
  <si>
    <t>Montáž šachet</t>
  </si>
  <si>
    <t>Montáž vpustí</t>
  </si>
  <si>
    <t>VRN</t>
  </si>
  <si>
    <t>SO.08 Zahrada + napojení zázemí</t>
  </si>
  <si>
    <t>VODOVOD</t>
  </si>
  <si>
    <t>Nezámrzná výtoková armatura, DN 20</t>
  </si>
  <si>
    <t>Potrubí z trub polyethylenových PE 32x3</t>
  </si>
  <si>
    <t>Navrtávací pas + T-kus + zemní uzavírací souprava</t>
  </si>
  <si>
    <t>Plastová šachta  instalační 1500/1500/1500mm, lit. poklop</t>
  </si>
  <si>
    <t>Signalizační vodič a folie</t>
  </si>
  <si>
    <t>Montáž potrubí PPR</t>
  </si>
  <si>
    <t>Montáž potrubí PE</t>
  </si>
  <si>
    <t>Napojení nového potrubí PE na stávající potrubí</t>
  </si>
  <si>
    <t>Zahrada + napojení zázemí</t>
  </si>
  <si>
    <t>IS-K-1</t>
  </si>
  <si>
    <t>Potrubí z trub KG   DN 100</t>
  </si>
  <si>
    <t>IS-K-2</t>
  </si>
  <si>
    <t>Potrubí z trub KG   DN 200</t>
  </si>
  <si>
    <t>IS-K-3</t>
  </si>
  <si>
    <t>IS-K-4</t>
  </si>
  <si>
    <t>Potrubí z trub HT   DN 70</t>
  </si>
  <si>
    <t>IS-K-5</t>
  </si>
  <si>
    <t>IS-K-6</t>
  </si>
  <si>
    <t>IS-K-7</t>
  </si>
  <si>
    <t>Čistící kus HT</t>
  </si>
  <si>
    <t>IS-K-8</t>
  </si>
  <si>
    <t>Přivzdušňovací ventil HT</t>
  </si>
  <si>
    <t>IS-K-9</t>
  </si>
  <si>
    <t>Vpust se svislým odtokem</t>
  </si>
  <si>
    <t>IS-K-10</t>
  </si>
  <si>
    <t>ŽB šachta  skružová DN1000, do 2m, lit. poklop + vřetenové šoupátko</t>
  </si>
  <si>
    <t>IS-K-11</t>
  </si>
  <si>
    <t xml:space="preserve">ŽB šachta beze dna, jako vsakovací studna s obsypem </t>
  </si>
  <si>
    <t>IS-K-12</t>
  </si>
  <si>
    <t>Vsakovací pera s obsypem</t>
  </si>
  <si>
    <t>IS-K-13</t>
  </si>
  <si>
    <t>IS-K-14</t>
  </si>
  <si>
    <t>IS-K-15</t>
  </si>
  <si>
    <t>IS-K-16</t>
  </si>
  <si>
    <t>IS-K-17</t>
  </si>
  <si>
    <t>IS-V-1</t>
  </si>
  <si>
    <t>IS-V-2</t>
  </si>
  <si>
    <t>IS-V-3</t>
  </si>
  <si>
    <t>IS-V-4</t>
  </si>
  <si>
    <t>IS-V-5</t>
  </si>
  <si>
    <t>IS-V-6</t>
  </si>
  <si>
    <t>Kohout kulový  DN 32</t>
  </si>
  <si>
    <t>IS-V-7</t>
  </si>
  <si>
    <t>Kohout kulový  DN 80</t>
  </si>
  <si>
    <t>IS-V-8</t>
  </si>
  <si>
    <t>IS-V-9</t>
  </si>
  <si>
    <t>IS-V-10</t>
  </si>
  <si>
    <t>Elektroventil  DN 32 + hladinová čidla + řízení</t>
  </si>
  <si>
    <t>IS-V-11</t>
  </si>
  <si>
    <t>Elektroventil  DN 50 + hladinová čidla + řízení</t>
  </si>
  <si>
    <t>IS-V-12</t>
  </si>
  <si>
    <t>Vodoměr na SV, DN25, 6m3/h</t>
  </si>
  <si>
    <t>IS-V-13</t>
  </si>
  <si>
    <t>IS-V-14</t>
  </si>
  <si>
    <t>Potrubí z trub PE, SDR11, 40x3,7</t>
  </si>
  <si>
    <t>IS-V-15</t>
  </si>
  <si>
    <t>Potrubí z trub PE, SDR11, 90x8,2</t>
  </si>
  <si>
    <t>IS-V-16</t>
  </si>
  <si>
    <t>Potrubí z trub PE, odbočky</t>
  </si>
  <si>
    <t>IS-V-17</t>
  </si>
  <si>
    <t>Potrubí z trub PE, kolena</t>
  </si>
  <si>
    <t>IS-V-18</t>
  </si>
  <si>
    <t>IS-V-19</t>
  </si>
  <si>
    <t>Plastová šachta  instalační 1500/3000/1800mm, lit. poklop</t>
  </si>
  <si>
    <t>IS-V-20</t>
  </si>
  <si>
    <t>IS-V-21</t>
  </si>
  <si>
    <t>IS-V-22</t>
  </si>
  <si>
    <t>IS-V-23</t>
  </si>
  <si>
    <t>IS-V-24</t>
  </si>
  <si>
    <t>IS-V-25</t>
  </si>
  <si>
    <t>IS-V-26</t>
  </si>
  <si>
    <t>Zemní práce (výkopy rýhy pro potrubí, lože, zához), š.800</t>
  </si>
  <si>
    <t>IS-V-27</t>
  </si>
  <si>
    <t>Zemní práce (výkopy rýhy pro potrubí, lože, zához), š.1400</t>
  </si>
  <si>
    <t>IS-V-28</t>
  </si>
  <si>
    <t>TÉMATICKÉ ZAHRADY - VODNÍ PRVKY</t>
  </si>
  <si>
    <t>IS_VP-1</t>
  </si>
  <si>
    <t>Z0.07 - Kanalizace, vypouštění</t>
  </si>
  <si>
    <t>IS_VP-2</t>
  </si>
  <si>
    <t>Z0.07 - Vodovod, vnitřní okruh</t>
  </si>
  <si>
    <t>IS_VP-3</t>
  </si>
  <si>
    <t>IS_VP-4</t>
  </si>
  <si>
    <t>Z0.11 - Vodovod, vnitřní okruh</t>
  </si>
  <si>
    <t>kanalizace celkem</t>
  </si>
  <si>
    <t>vodovod a vodní prvky celkem</t>
  </si>
  <si>
    <t>KRYCÍ LIST ROZPOČTU</t>
  </si>
  <si>
    <t>Labyrint přírody a ráj zahrad - I. etapa, Lednice SO 09 -NN+VO</t>
  </si>
  <si>
    <t>JKSO</t>
  </si>
  <si>
    <t>SO.09</t>
  </si>
  <si>
    <t>EČO</t>
  </si>
  <si>
    <t xml:space="preserve">   </t>
  </si>
  <si>
    <t>Místo</t>
  </si>
  <si>
    <t>Lednice</t>
  </si>
  <si>
    <t>IČ</t>
  </si>
  <si>
    <t>DIČ</t>
  </si>
  <si>
    <t xml:space="preserve">PK SKLENÁŘ s.r.o.   </t>
  </si>
  <si>
    <t>Zhotovitel</t>
  </si>
  <si>
    <t>Rozpočet číslo</t>
  </si>
  <si>
    <t>Zpracoval</t>
  </si>
  <si>
    <t>Dne</t>
  </si>
  <si>
    <t>10.12.2013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</si>
  <si>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</si>
  <si>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</si>
  <si>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</si>
  <si>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</si>
  <si>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</si>
  <si>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</si>
  <si>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</si>
  <si>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</si>
  <si>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</si>
  <si>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</si>
  <si>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</si>
  <si>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</si>
  <si>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</si>
  <si>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</si>
  <si>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</si>
  <si>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</si>
  <si>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</si>
  <si>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 xml:space="preserve">Zařízení staveniště   </t>
  </si>
  <si>
    <t>Bez pevné podl.</t>
  </si>
  <si>
    <t xml:space="preserve">Mimostav. doprava   </t>
  </si>
  <si>
    <t>Kulturní památka</t>
  </si>
  <si>
    <t>16</t>
  </si>
  <si>
    <t xml:space="preserve">Územní vlivy   </t>
  </si>
  <si>
    <t>17</t>
  </si>
  <si>
    <t xml:space="preserve">Provozní vlivy   </t>
  </si>
  <si>
    <t>"M"</t>
  </si>
  <si>
    <t>18</t>
  </si>
  <si>
    <t xml:space="preserve">Ostatní   </t>
  </si>
  <si>
    <t>19</t>
  </si>
  <si>
    <t>NUS z rozpočtu</t>
  </si>
  <si>
    <t>Nosný m.</t>
  </si>
  <si>
    <t>ZRN (ř. 1-7)</t>
  </si>
  <si>
    <t>DN (ř. 9-12)</t>
  </si>
  <si>
    <t>20</t>
  </si>
  <si>
    <t>NUS (ř. 14-19)</t>
  </si>
  <si>
    <t>21</t>
  </si>
  <si>
    <t>22</t>
  </si>
  <si>
    <t>Kompl. činnost</t>
  </si>
  <si>
    <t>23</t>
  </si>
  <si>
    <t>Ostatní náklady</t>
  </si>
  <si>
    <t>D</t>
  </si>
  <si>
    <t>Celkové náklady</t>
  </si>
  <si>
    <t>24</t>
  </si>
  <si>
    <t>Součet 8, 13, 20-23</t>
  </si>
  <si>
    <t>Datum a podpis</t>
  </si>
  <si>
    <t>Razítko</t>
  </si>
  <si>
    <t>25</t>
  </si>
  <si>
    <t>% z</t>
  </si>
  <si>
    <t>26</t>
  </si>
  <si>
    <t>27</t>
  </si>
  <si>
    <t>Cena s DPH (ř. 24-26)</t>
  </si>
  <si>
    <t>E</t>
  </si>
  <si>
    <t>Přípočty a odpočty</t>
  </si>
  <si>
    <t>Dodávky zadavatele</t>
  </si>
  <si>
    <t>29</t>
  </si>
  <si>
    <t>Klouzavá doložka</t>
  </si>
  <si>
    <t>30</t>
  </si>
  <si>
    <t>Zvýhodnění + -</t>
  </si>
  <si>
    <t>k celkové rekapitulaci ještě patří další listy, které jsou součástí samostatného souboru tohoto oddílu</t>
  </si>
  <si>
    <t xml:space="preserve"> 09a-Rozvody NN</t>
  </si>
  <si>
    <t>210100255</t>
  </si>
  <si>
    <t xml:space="preserve">Ukončení kabelů smršťovací záklopkou nebo páskou se zapojením bez letování žíly do 4x150 mm2   </t>
  </si>
  <si>
    <t>210100256</t>
  </si>
  <si>
    <t xml:space="preserve">Ukončení kabelů smršťovací záklopkou nebo páskou se zapojením bez letování žíly do 4x240 mm2   </t>
  </si>
  <si>
    <t xml:space="preserve">pojistka nízkoztrátová PHN2 200A provedení normální   </t>
  </si>
  <si>
    <t>358252740</t>
  </si>
  <si>
    <t xml:space="preserve">pojistka nízkoztrátová PHN2 250A provedení normální   </t>
  </si>
  <si>
    <t xml:space="preserve">pojistka nízkoztrátová PHN2 125A provedení normální   </t>
  </si>
  <si>
    <t xml:space="preserve">pojistka nízkoztrátová PHN2 160A provedení normální   </t>
  </si>
  <si>
    <t>210901095</t>
  </si>
  <si>
    <t xml:space="preserve">Montáž hliníkových kabelů AYKY, AMCMK, TFSP, NAYY-J-RE(-O-SM) 1kV 4x120 mm2 pevně uložených   </t>
  </si>
  <si>
    <t>341132230</t>
  </si>
  <si>
    <t xml:space="preserve">kabel silový s Al jádrem 1-AYKY 4x120 mm2   </t>
  </si>
  <si>
    <t xml:space="preserve">Montáž hliníkových kabelů AYKY, AMCMK, TFSP, NAYY-J-RE(-O-SM) 1kV 4x240 mm2 pevně uložených   </t>
  </si>
  <si>
    <t>341132410</t>
  </si>
  <si>
    <t xml:space="preserve">kabel silový s Al jádrem 1-AYKY 4x240 mm2   </t>
  </si>
  <si>
    <t>460010024</t>
  </si>
  <si>
    <t xml:space="preserve">Vytyčení trasy vedení kabelového podzemního v zastavěném prostoru   </t>
  </si>
  <si>
    <t>km</t>
  </si>
  <si>
    <t>460030173</t>
  </si>
  <si>
    <t xml:space="preserve">Odstranění podkladu nebo krytu komunikace ze živice tloušťky do 15 cm   </t>
  </si>
  <si>
    <t>460030182</t>
  </si>
  <si>
    <t xml:space="preserve">Řezání podkladu nebo krytu betonového hloubky do 15 cm   </t>
  </si>
  <si>
    <t>460200163</t>
  </si>
  <si>
    <t xml:space="preserve">Hloubení kabelových nezapažených rýh ručně š 35 cm, hl 80 cm, v hornině tř 3   </t>
  </si>
  <si>
    <t>460200303</t>
  </si>
  <si>
    <t xml:space="preserve">Hloubení kabelových nezapažených rýh ručně š 50 cm, hl 120 cm, v hornině tř 3   </t>
  </si>
  <si>
    <t>460421001</t>
  </si>
  <si>
    <t xml:space="preserve">Lože kabelů z písku nebo štěrkopísku tl 5 cm nad kabel, bez zakrytí, šířky lože do 65 cm   </t>
  </si>
  <si>
    <t>460421081</t>
  </si>
  <si>
    <t xml:space="preserve">Lože kabelů z písku nebo štěrkopísku tl 5 cm nad kabel, kryté plastovou folií, š lože do 25 cm   </t>
  </si>
  <si>
    <t>460560143</t>
  </si>
  <si>
    <t xml:space="preserve">Zásyp rýh ručně šířky 35 cm, hloubky 60 cm, z horniny třídy 3   </t>
  </si>
  <si>
    <t>460560273</t>
  </si>
  <si>
    <t xml:space="preserve">Zásyp rýh ručně šířky 50 cm, hloubky 90 cm, z horniny třídy 3   </t>
  </si>
  <si>
    <t>460600021</t>
  </si>
  <si>
    <t xml:space="preserve">Vodorovné přemístění horniny jakékoliv třídy do 50 m   </t>
  </si>
  <si>
    <t>460600031</t>
  </si>
  <si>
    <t xml:space="preserve">Příplatek k vodorovnému přemístění horniny za každých dalších 1000 m   </t>
  </si>
  <si>
    <t>460600061</t>
  </si>
  <si>
    <t xml:space="preserve">Odvoz suti a vybouraných hmot do 1 km   </t>
  </si>
  <si>
    <t>460600071</t>
  </si>
  <si>
    <t xml:space="preserve">Příplatek k odvozu suti a vybouraných hmot za každý další 1 km   </t>
  </si>
  <si>
    <t>460650135</t>
  </si>
  <si>
    <t xml:space="preserve">Zřízení krytu vozovky a chodníku z litého asfaltu tloušťky do 8 cm   </t>
  </si>
  <si>
    <t>09b - Venkovní osvětlení - Páteřní rozvody</t>
  </si>
  <si>
    <t>460200263</t>
  </si>
  <si>
    <t xml:space="preserve">Hloubení kabelových nezapažených rýh ručně š 50 cm, hl 80 cm, v hornině tř 3   </t>
  </si>
  <si>
    <t>460200643</t>
  </si>
  <si>
    <t xml:space="preserve">Hloubení kabelových nezapažených rýh ručně š 65 cm, hl 80 cm, v hornině tř 3   </t>
  </si>
  <si>
    <t>460200843</t>
  </si>
  <si>
    <t xml:space="preserve">Hloubení kabelových nezapažených rýh ručně š 80 cm, hl 80 cm, v hornině tř 3   </t>
  </si>
  <si>
    <t>460200903</t>
  </si>
  <si>
    <t xml:space="preserve">Hloubení kabelových nezapažených rýh ručně š 80 cm, hl 140 cm, v hornině tř 3   </t>
  </si>
  <si>
    <t>Hloubení kabelových nezapažených rýh ručně š 100 cm, hl 80 cm, v hornině tř 3</t>
  </si>
  <si>
    <t>460560243</t>
  </si>
  <si>
    <t xml:space="preserve">Zásyp rýh ručně šířky 50 cm, hloubky 60 cm, z horniny třídy 3   </t>
  </si>
  <si>
    <t xml:space="preserve">Zásyp rýh ručně šířky 65 cm, hloubky 60 cm, z horniny třídy 3   </t>
  </si>
  <si>
    <t>460560823</t>
  </si>
  <si>
    <t xml:space="preserve">Zásyp rýh ručně šířky 80 cm, hloubky 60 cm, z horniny třídy 3   </t>
  </si>
  <si>
    <t>460560853</t>
  </si>
  <si>
    <t xml:space="preserve">Zásyp rýh ručně šířky 80 cm, hloubky 90 cm, z horniny třídy 3   </t>
  </si>
  <si>
    <t>Zásyp rýh ručně šířky 100 cm, hloubky 60 cm, z horniny třídy 3</t>
  </si>
  <si>
    <t>Z1- Zahrada 1-12</t>
  </si>
  <si>
    <t>210010353</t>
  </si>
  <si>
    <t xml:space="preserve">Montáž rozvodek nástěnných plastových čtyřhranných ACIDUR vodič D do 10 mm2   </t>
  </si>
  <si>
    <t>345640000</t>
  </si>
  <si>
    <t xml:space="preserve">Krabice rozvodná do 16mm2 do energ. sloupku   </t>
  </si>
  <si>
    <t>210102000-1</t>
  </si>
  <si>
    <t xml:space="preserve">Propojení kabelů celoplastových spojkou do 1 kV venkovní páskovou SVpe 1až5 žíy 3x4 až 5x16 mm2   </t>
  </si>
  <si>
    <t>354360380-1</t>
  </si>
  <si>
    <t xml:space="preserve">spojka kabelová odbočná s plastovou izolací, 5*4 až 5x16mm2/4x25mm2   </t>
  </si>
  <si>
    <t>Lednice, Labyrint přírody a ráj zahrad“ – I. Etapa (vnejší rozvody a infosystém)</t>
  </si>
  <si>
    <t>SO.10 Slaboproud, informační technika</t>
  </si>
  <si>
    <t>Zemní práce + venkovní kabelové propojení objektu pokladny do stávajícího areálu, připojení do stávající servrovny</t>
  </si>
  <si>
    <t>Vytyčení trati kabel.ved.ve volném terénu</t>
  </si>
  <si>
    <t>Vybourání asfaltu včetně vyřezání drážky</t>
  </si>
  <si>
    <t xml:space="preserve">Výkop jámy pro šachtu ruční, zemina třídy 3-4 </t>
  </si>
  <si>
    <t>Betonový základ do rostlé zeminy bez bednění</t>
  </si>
  <si>
    <t>Zához jámy šachty, zemina třídy 3-4</t>
  </si>
  <si>
    <t>Kompletní kabelová komora 2448, 1409x806,10x125, víko ocel</t>
  </si>
  <si>
    <t>Montáž plastové komory 1.5x1x1.2m</t>
  </si>
  <si>
    <t>Pojížděný litinový poklop na šachtu CARSON</t>
  </si>
  <si>
    <t>Hloubení kabelové rýhy do 50cm šir.,do 130cm hlub.,zem.tř.4</t>
  </si>
  <si>
    <t>Zř.kab.lože,kop.pís.,tl.zás.vrst.10cm,cih.napříč,š.35cm</t>
  </si>
  <si>
    <t>Krytí kab.fólie výstražné z PVC, šířka 33 cm</t>
  </si>
  <si>
    <t>Doprava písku na stavbu</t>
  </si>
  <si>
    <t>Zřízení a demontáž přechodové lávky</t>
  </si>
  <si>
    <t>Utěsnění chráničky či otvoru multikanálu proti vniknutí vody</t>
  </si>
  <si>
    <t>Ruční zához kab.rýhy,šíř.do 50cm,hloub.do 130cm,zem.třídy 4</t>
  </si>
  <si>
    <t>Hutnění zeminy,vrstva zeminy do 20 cm</t>
  </si>
  <si>
    <t>Provizorní úprava terénu v přírodní zemině, zem.třídy 4</t>
  </si>
  <si>
    <t>Ohebná plastová chránička d=110mm, vyvložk., dod. + uložení  +  vstupy do objektů</t>
  </si>
  <si>
    <t>Zaslepení či zatěsnění otvoru chráničky 110 mm</t>
  </si>
  <si>
    <t>Trubka HDPE černá</t>
  </si>
  <si>
    <t>Spojka pro HDPE 40 - montáž i dodávka</t>
  </si>
  <si>
    <t>Zaslepení neobsazeného otvoru v HDPE 40</t>
  </si>
  <si>
    <t>Reflexní stuha</t>
  </si>
  <si>
    <t>Podkladová vrstva,penetrační makadam živičný hrubý-20cm</t>
  </si>
  <si>
    <t>Podkladová vrstva, ze štěrku-vrstva 10 cm</t>
  </si>
  <si>
    <t>Přeměření izolačního stavu kabel úložný 100žil</t>
  </si>
  <si>
    <t>Úložný kabel volně uložený TCEPKPFLE do 25 XN</t>
  </si>
  <si>
    <t>TCEPKPFLE do 25x4x0,4</t>
  </si>
  <si>
    <t>SYKFY [50x2x0,50]</t>
  </si>
  <si>
    <t>Kabel SYKFY 50x2x0,5 do žlabu</t>
  </si>
  <si>
    <t>Stejnosměrná měření na metalic. kabelu</t>
  </si>
  <si>
    <t>pár</t>
  </si>
  <si>
    <t>Multitrubička 7x 6mm (LSF) - Outdoor</t>
  </si>
  <si>
    <t>Dust Cap - 6mm (prachová krytka, spojka pro trubičky)</t>
  </si>
  <si>
    <t>Optical Fibre SindleMode 16 různých barev</t>
  </si>
  <si>
    <t>Pigtail  SM - konektor určit při realizaci</t>
  </si>
  <si>
    <t>Svár optického vlákna - provedení</t>
  </si>
  <si>
    <t>Zafukování</t>
  </si>
  <si>
    <t>příp</t>
  </si>
  <si>
    <t>Patchpanel (vana) pro zakončení 24vl. - neosaz.</t>
  </si>
  <si>
    <t>Spojka do panelu (konektor určit při realizaci)</t>
  </si>
  <si>
    <t xml:space="preserve">MIS 1, 2xLSA </t>
  </si>
  <si>
    <t>Skříň MIS1,  zasekání, cihly pálené</t>
  </si>
  <si>
    <t>Žlab MARS 125/ 50 mm,</t>
  </si>
  <si>
    <t>Konstrukce ocelová do 10 kg</t>
  </si>
  <si>
    <t>Rošt 60cm komplet (svislé vedení)</t>
  </si>
  <si>
    <t>Svorkovnice LSA+ pevná 10x2</t>
  </si>
  <si>
    <t>Nezměřitelné pracovní výkony</t>
  </si>
  <si>
    <t>Obstarání montážních podkladů</t>
  </si>
  <si>
    <t>Zaměření a zakreslení skutečného provedení stavby</t>
  </si>
  <si>
    <t>Předběžný průzkum staveniště</t>
  </si>
  <si>
    <t>Konzultace se správci ostatních sítí</t>
  </si>
  <si>
    <t>Sdělovací rozvody pro řízení závlah</t>
  </si>
  <si>
    <t>Je zahrnuto v projektu závlah,a  to včetně zemních prací pro kabely</t>
  </si>
  <si>
    <t>Zajištění informovanosti návštěvníka, soubor audio panelů, vyšší atraktivita pro návštěvníky, racionalizace provozního režimu</t>
  </si>
  <si>
    <t>Multimediální průvodce - mobilní zařízení s integrovaným 3,5“ TFT LCD displejem, které slouží k poskytování informací individuálním turistům a návštěvníkům - připojení přes WIFI</t>
  </si>
  <si>
    <t>Databázový stroj na otevřených platformách (rack PC) pro zajištění správy popisu sortimentu</t>
  </si>
  <si>
    <t>Identifikátor sortimentu skladebných prvků zahrad - jedná se o speciální jmenovku, která je současně nosičem identifikátoru.Vyhledávání informací při návštěvě pokusných ploch bude prováděno zadáním informace ze štítku do vyhledávače databáze (QR kód například)</t>
  </si>
  <si>
    <t>Přenosná čtečka čárových kódů přenosná čtečka čárových či QR  kódů s počítačem</t>
  </si>
  <si>
    <t xml:space="preserve">Server  - montáž do racku, 73 GB SAS HDD, redundant 675W power supply  + operační systém </t>
  </si>
  <si>
    <t>Diskové pole s disky diskové pole 7x 1000GB</t>
  </si>
  <si>
    <t>Webová aplikace - vytvoření 2D interaktivního plánu a jeho implementace do web aplikace - výměra území 6ha</t>
  </si>
  <si>
    <t>Webová aplikace - vytvoření a optimalizace 3D interaktivního modelu a jeho propojení s interaktivním 2D modelem</t>
  </si>
  <si>
    <t>Webová aplikace - virtuální prohlídka - vytvoření panoramatického snímku, zpracování a  implementace do  virtualní prohlídky(celkem 50 stanovišť) statické fotografie (na jedno stanoviště VP cca 10 fotografií * 50 stanovišť)</t>
  </si>
  <si>
    <t>Instalace a ladění softwaroveho prostředí pro virtuální prohlídku na serveru, zaškolení obsluhy (pracovník centra), školení zaměřené na pořízení , zpracovaní a vystavení panoramatických snímků pro virtuální prohlídku</t>
  </si>
  <si>
    <t>Interaktivní (otevřený) mapový server - ochrana interaktivního prostředí serveru</t>
  </si>
  <si>
    <t>Interaktivní (otevřený) mapový server - Instalace a ladění</t>
  </si>
  <si>
    <t>Pokladní systém včetně PC obsluhy</t>
  </si>
  <si>
    <t>SO10 - venkovní rozvody slaboproudu včetně infosystému</t>
  </si>
  <si>
    <t>D.10.1.- Elektro - slaboproud</t>
  </si>
  <si>
    <t>dle SP</t>
  </si>
  <si>
    <t>Trubka HDPE černá - montáž i dodávka</t>
  </si>
  <si>
    <t>Pigtail  SM - konektor určit při realizaci (jen polovina vláken v každém kabelu zakončena)</t>
  </si>
  <si>
    <t>MIS 2</t>
  </si>
  <si>
    <t>Skříň MIS2,  zasekání, cihly pálené</t>
  </si>
  <si>
    <t>Ranžírování FLE, nalezení telefonního páryu v A</t>
  </si>
  <si>
    <t>Detekční marker, dodávka + montáž</t>
  </si>
  <si>
    <t>Podzemní romold, nepojížděný, dodávka + montáž</t>
  </si>
  <si>
    <t xml:space="preserve">cena dle  původního rozpočtu celkem </t>
  </si>
  <si>
    <t>11a Akumulační nádrž</t>
  </si>
  <si>
    <t>112101102R00</t>
  </si>
  <si>
    <t xml:space="preserve">Kácení stromů listnatých o průměru kmene 30-50 cm </t>
  </si>
  <si>
    <t>112201102R00</t>
  </si>
  <si>
    <t xml:space="preserve">Odstranění pařezů pod úrovní, o průměru 30 - 50 cm </t>
  </si>
  <si>
    <t>nádrž:   (33,301/2)*4,4*0,5</t>
  </si>
  <si>
    <t xml:space="preserve">  (88,247/2)*2*0,5</t>
  </si>
  <si>
    <t>(4,3*1,5)*0,5*2</t>
  </si>
  <si>
    <t>základové patky pod nové schodiště:   (0,4*1,4)*1*2</t>
  </si>
  <si>
    <t>162201152R00</t>
  </si>
  <si>
    <t xml:space="preserve">Vodorovné přemístění výkopku z hor.5-7 do 50 m </t>
  </si>
  <si>
    <t>87,2046*2</t>
  </si>
  <si>
    <t>162201455R00</t>
  </si>
  <si>
    <t xml:space="preserve">Vod.přemístění větví listnatých, D 30cm  do 3000 m </t>
  </si>
  <si>
    <t>25*4</t>
  </si>
  <si>
    <t>162201475R00</t>
  </si>
  <si>
    <t xml:space="preserve">Vodorovné přemístění pařezů  D 30 cm do 3000 m </t>
  </si>
  <si>
    <t>Dovezení nové zeminy na obsyp:   (33,301/2)*4,4*0,1</t>
  </si>
  <si>
    <t xml:space="preserve">  (88,247/2)*2*0,1</t>
  </si>
  <si>
    <t>87,2046+16,15</t>
  </si>
  <si>
    <t>180401212R00</t>
  </si>
  <si>
    <t xml:space="preserve">Založení trávníku lučního výsevem ve svahu do 1:2 </t>
  </si>
  <si>
    <t>183101215R00</t>
  </si>
  <si>
    <t xml:space="preserve">Hloub. jamek s výměnou 50% půdy do 0,4 m3 sv.1:5 </t>
  </si>
  <si>
    <t>184004313R00</t>
  </si>
  <si>
    <t xml:space="preserve">Výsadba sazenic stromů do 1,5 m, jamka D 50/hl. 50 </t>
  </si>
  <si>
    <t>184801121R00</t>
  </si>
  <si>
    <t xml:space="preserve">Ošetřování vysazených dřevin </t>
  </si>
  <si>
    <t>185804311R00</t>
  </si>
  <si>
    <t xml:space="preserve">Zalití vč.vody </t>
  </si>
  <si>
    <t>00572404</t>
  </si>
  <si>
    <t>Směs travní dálniční univerzální balení 25kg PROFI</t>
  </si>
  <si>
    <t>02650302</t>
  </si>
  <si>
    <t>Strom listnatý  vel. 14-16</t>
  </si>
  <si>
    <t>10364200</t>
  </si>
  <si>
    <t>Ornice pro pozemkové úpravy</t>
  </si>
  <si>
    <t>Zemina pro navýšení obsypu nádrže:   (33,301/2)*4,4*0,1</t>
  </si>
  <si>
    <t>25111112.A</t>
  </si>
  <si>
    <t>Hnojivo</t>
  </si>
  <si>
    <t>60850017</t>
  </si>
  <si>
    <t>Kůl vyvazovací impregnovaný 250 x 10 cm</t>
  </si>
  <si>
    <t>30*3</t>
  </si>
  <si>
    <t>60850031</t>
  </si>
  <si>
    <t>Příčka spojovací ke kůlům impregnovaná 60 x 8 cm</t>
  </si>
  <si>
    <t xml:space="preserve">Dmtž kiosku </t>
  </si>
  <si>
    <t>341121115U00</t>
  </si>
  <si>
    <t xml:space="preserve">Oprava  výtruží do 50 mm </t>
  </si>
  <si>
    <t>380932225R00</t>
  </si>
  <si>
    <t xml:space="preserve">Vlepení výztuže D 12, beton </t>
  </si>
  <si>
    <t>392901111R00</t>
  </si>
  <si>
    <t xml:space="preserve">Omytí zdiva tlakovou vodou </t>
  </si>
  <si>
    <t>Vnější část:</t>
  </si>
  <si>
    <t>nádrž:   (33,301/2)*4,4</t>
  </si>
  <si>
    <t xml:space="preserve">  (88,247/2)*2</t>
  </si>
  <si>
    <t>vstup:  2,05*2,4</t>
  </si>
  <si>
    <t>(2,05*3,31)*2</t>
  </si>
  <si>
    <t>2,4*(1,72+1,34)</t>
  </si>
  <si>
    <t>Vnitřní část :</t>
  </si>
  <si>
    <t>nádrž:(31,416/2)*10</t>
  </si>
  <si>
    <t>(45,365/2)*2</t>
  </si>
  <si>
    <t>3,8*10</t>
  </si>
  <si>
    <t>vstup:(1,75*2,01)*2</t>
  </si>
  <si>
    <t>(1,8*2,01)*2</t>
  </si>
  <si>
    <t>(1,75*1,8)*2</t>
  </si>
  <si>
    <t>614471711R00</t>
  </si>
  <si>
    <t xml:space="preserve">Vyspravení beton. konstrukcí cem. maltou tl. 10 mm </t>
  </si>
  <si>
    <t>614471715R00</t>
  </si>
  <si>
    <t xml:space="preserve">Vyspravení beton. konstrukcí - adhézní můstek </t>
  </si>
  <si>
    <t>624401112R00</t>
  </si>
  <si>
    <t xml:space="preserve">Vyspravení.poškoz.hran spár MC s CHS 371 EPOXY </t>
  </si>
  <si>
    <t>632419110RT1</t>
  </si>
  <si>
    <t>Samonivelač. stěrka,ruční zpracování tl.10 mm cementová podlahová stěrka</t>
  </si>
  <si>
    <t>vstupní prostor:   1,75*1,8</t>
  </si>
  <si>
    <t>642944121RU4</t>
  </si>
  <si>
    <t>Osazení ocelových zárubní dodatečně do 2,5 m2 včetně dodávky zárubně  80x197x16 cm</t>
  </si>
  <si>
    <t>kiosek:   (1,79*1,13)*1,5</t>
  </si>
  <si>
    <t>rozvodná skříň:   (0,45*1,2)*1,4</t>
  </si>
  <si>
    <t>962052211R00</t>
  </si>
  <si>
    <t xml:space="preserve">Bourání zdiva železobetonového nadzákladového </t>
  </si>
  <si>
    <t>parapet:  (0,95*1)*0,3</t>
  </si>
  <si>
    <t>97</t>
  </si>
  <si>
    <t>Prorážení otvorů</t>
  </si>
  <si>
    <t>970051160R00</t>
  </si>
  <si>
    <t xml:space="preserve">Vrtání jádrové do ŽB do D 160 mm </t>
  </si>
  <si>
    <t>0,3*6</t>
  </si>
  <si>
    <t>97 Prorážení otvorů</t>
  </si>
  <si>
    <t>998012021R00</t>
  </si>
  <si>
    <t xml:space="preserve">Přesun hmot pro budovy monolitické výšky do 6 m </t>
  </si>
  <si>
    <t>711212099AJ</t>
  </si>
  <si>
    <t>Nátěr hydroizolační - Krystalický nepropustný na bázi cementu bez nutnosti další ochrany</t>
  </si>
  <si>
    <t>711212241R00</t>
  </si>
  <si>
    <t xml:space="preserve">Těsnění prostupů těsnicí manžetou </t>
  </si>
  <si>
    <t>rozvody potrubí a větrání:   6+1</t>
  </si>
  <si>
    <t>2352022587</t>
  </si>
  <si>
    <t>Těsnící manžeta</t>
  </si>
  <si>
    <t>Vnitřní vodovod</t>
  </si>
  <si>
    <t>722 Vnitřní vodovod</t>
  </si>
  <si>
    <t>767211111R00</t>
  </si>
  <si>
    <t xml:space="preserve">Montáž schodů rovných na ocel.konstr.- šroubováním </t>
  </si>
  <si>
    <t>venkovní schodiště:200</t>
  </si>
  <si>
    <t>767640111U00</t>
  </si>
  <si>
    <t xml:space="preserve">Mtž dveře vchod 1kř </t>
  </si>
  <si>
    <t>767646401U00</t>
  </si>
  <si>
    <t xml:space="preserve">Mtž dvířka 1kř+rám v-1 m </t>
  </si>
  <si>
    <t>767833100R00</t>
  </si>
  <si>
    <t xml:space="preserve">Montáž žebříků do zdiva s bočnicemi </t>
  </si>
  <si>
    <t>schůdky údržba:   3</t>
  </si>
  <si>
    <t>potrubí:    250</t>
  </si>
  <si>
    <t>odvětríní:   20</t>
  </si>
  <si>
    <t>schůdky:   20</t>
  </si>
  <si>
    <t>13322939</t>
  </si>
  <si>
    <t>Ocelové schodiště s oboustraným zábradlím,nášlapy polorošty povrch.úprava pozink</t>
  </si>
  <si>
    <t>31186302</t>
  </si>
  <si>
    <t>Žebřík L 40 x 40 x 5 délka 3000 mm povrchová úpr. žárově zinkováno</t>
  </si>
  <si>
    <t>55340753</t>
  </si>
  <si>
    <t>Dvířka kovová 90 x 90 cm včetně rámu z L profilů  uzamykatelné povrchová úprava žárově zinkováno</t>
  </si>
  <si>
    <t>55340770</t>
  </si>
  <si>
    <t>Dveře kovové se zámkem FAB 746576.1 80x197 L</t>
  </si>
  <si>
    <t>vstupní dveře:    1</t>
  </si>
  <si>
    <t>771130111R00</t>
  </si>
  <si>
    <t xml:space="preserve">Obklad soklíků rovných do tmele výšky do 100 mm </t>
  </si>
  <si>
    <t>vstupní prostor:   (1,75+1,8)*2</t>
  </si>
  <si>
    <t>771549792R00</t>
  </si>
  <si>
    <t xml:space="preserve">Příplatek za podlahy v omezeném prostoru </t>
  </si>
  <si>
    <t>3,15*1,2</t>
  </si>
  <si>
    <t>(0,1*7,1)*1,2</t>
  </si>
  <si>
    <t>783122610R00</t>
  </si>
  <si>
    <t xml:space="preserve">Nátěr syntetický OK "A" 3x email </t>
  </si>
  <si>
    <t>vstupní dveře se zárubní:  (0,9*2)*2</t>
  </si>
  <si>
    <t>210000113</t>
  </si>
  <si>
    <t xml:space="preserve">Rozvaděč </t>
  </si>
  <si>
    <t>210000222</t>
  </si>
  <si>
    <t xml:space="preserve">Dmtž rozvodné skříně </t>
  </si>
  <si>
    <t>21000111</t>
  </si>
  <si>
    <t xml:space="preserve">Elektroinstalace del přílohy </t>
  </si>
  <si>
    <t xml:space="preserve">Vnitrostaveništní doprava vybouraných hmot do 10 m </t>
  </si>
  <si>
    <t>Příplatek k vnitrost. dopravě vybouraných hmot za každých 5 m</t>
  </si>
  <si>
    <t xml:space="preserve">Skládkovné vybouraných hmot </t>
  </si>
  <si>
    <t>aktual.říjen 2014  přípočty+ odpočty</t>
  </si>
  <si>
    <t>základové patky pod nové schodiště: (0,4*1,6)*0,9*2</t>
  </si>
  <si>
    <t>-1,12</t>
  </si>
  <si>
    <t>základové patky pod nové schodiště:   (0,4*1,6)*0,9</t>
  </si>
  <si>
    <t xml:space="preserve">  (0,4*1,6)*1,1</t>
  </si>
  <si>
    <t>275351215RT1</t>
  </si>
  <si>
    <t>Bednění stěn základových patek - zřízení bednicí materiál prkna</t>
  </si>
  <si>
    <t>patka schodiště:  (0,4+1,6)*2*0,3</t>
  </si>
  <si>
    <t>275351216R00</t>
  </si>
  <si>
    <t xml:space="preserve">Bednění stěn základových patek - odstranění </t>
  </si>
  <si>
    <t>kiosek:   (1,79*1,13)*0,7</t>
  </si>
  <si>
    <t>rozvodná skříň:   (0,45*1,2)*0,6</t>
  </si>
  <si>
    <t>-3,79</t>
  </si>
  <si>
    <t xml:space="preserve"> m.č. 1.01 - parapet :  (0,95*0,74)*0,3</t>
  </si>
  <si>
    <t>-0,29</t>
  </si>
  <si>
    <t>venkovní schodiště:-200</t>
  </si>
  <si>
    <t>767995102R00</t>
  </si>
  <si>
    <t>Výroba a montáž kov.schodiště,povrchová úprava pozink</t>
  </si>
  <si>
    <t>13318055</t>
  </si>
  <si>
    <t>Tyč ocelová JKL 50/5/ 50 mm</t>
  </si>
  <si>
    <t>SC4:  (1*8)*0,006366*1,05</t>
  </si>
  <si>
    <t>13318065</t>
  </si>
  <si>
    <t>Tyč ocelová JKL 40/5/40 mm</t>
  </si>
  <si>
    <t>SC7:(1,72*4)*0,004841*1,05</t>
  </si>
  <si>
    <t>SC8:(0,9*2)*0,004841*1,05</t>
  </si>
  <si>
    <t>133301510000</t>
  </si>
  <si>
    <t>Tyč ocelová L jakost 425541  45x45x5 mm</t>
  </si>
  <si>
    <t>SC0:(1,4*9)*2*3,77*1,05</t>
  </si>
  <si>
    <t>13383420</t>
  </si>
  <si>
    <t>Tyč průřezu IPE 120, střední, jakost oceli 11375</t>
  </si>
  <si>
    <t>SC3:  (1,35*2)*0,0134*1,05</t>
  </si>
  <si>
    <t>13384435</t>
  </si>
  <si>
    <t>Tyč průřezu U 140, střední, jakost oceli 11375</t>
  </si>
  <si>
    <t>SC1:  (3,5*2)*0,016*1,05</t>
  </si>
  <si>
    <t>SC2:  (1*2)*0,016*1,05</t>
  </si>
  <si>
    <t>13511120</t>
  </si>
  <si>
    <t>Ocel široká jakost S235 JRG2  100x10 mm</t>
  </si>
  <si>
    <t>PA3: (0,3*2)*0,00807*1,05</t>
  </si>
  <si>
    <t>13530820</t>
  </si>
  <si>
    <t>Ocel široká jakost S235 JRG2  300x10 mm</t>
  </si>
  <si>
    <t>PA1: (0,3*2)*0,02407*1,05</t>
  </si>
  <si>
    <t>PA2: (0,3*2)*0,02407*1,05</t>
  </si>
  <si>
    <t>14120875</t>
  </si>
  <si>
    <t>Trubky bezešvé hladké jakost 11353.1 D 60,3x5,0 mm</t>
  </si>
  <si>
    <t>SC5:  3,5*2*1,05</t>
  </si>
  <si>
    <t>SC6:  1*2*1,05</t>
  </si>
  <si>
    <t>15945020</t>
  </si>
  <si>
    <t>Polorošty schodiště 1350/300, v-30 mm oka 50/50 mm</t>
  </si>
  <si>
    <t>SC3:   10</t>
  </si>
  <si>
    <t>15945021</t>
  </si>
  <si>
    <t>Polorošt 1000/1400 mm, v- 30 mm,oka 50/50 mm</t>
  </si>
  <si>
    <t>SC3:    1</t>
  </si>
  <si>
    <t>31110713</t>
  </si>
  <si>
    <t>Matice přesná šestihranná 02 1401 M 10,včetně podložky</t>
  </si>
  <si>
    <t>G1:   16</t>
  </si>
  <si>
    <t>31171804.A</t>
  </si>
  <si>
    <t>Kotva chemická -  M20,dl.250 mm</t>
  </si>
  <si>
    <t>F1:   4</t>
  </si>
  <si>
    <t>31171805.A</t>
  </si>
  <si>
    <t>Kotva chemická  M24,dl. 250</t>
  </si>
  <si>
    <t>F2:    4</t>
  </si>
  <si>
    <t>F3:    4</t>
  </si>
  <si>
    <t>31179106</t>
  </si>
  <si>
    <t>Tyč závitová M10, DIN 975</t>
  </si>
  <si>
    <t>G1:  8*2</t>
  </si>
  <si>
    <t>dvířka kovová včetně rámu:   (1*1)*2</t>
  </si>
  <si>
    <t>-3,6</t>
  </si>
  <si>
    <t>11b Čerpací stanice</t>
  </si>
  <si>
    <t>132101101R00</t>
  </si>
  <si>
    <t xml:space="preserve">Hloubení rýh šířky do 60 cm v hor.2 do 100 m3 </t>
  </si>
  <si>
    <t>základy:  (4+6)*2*0,4*1</t>
  </si>
  <si>
    <t>162401101R00</t>
  </si>
  <si>
    <t xml:space="preserve">Vodorovné přemístění výkopku z hor.1-4 do 1500 m </t>
  </si>
  <si>
    <t xml:space="preserve">Obsyp objektu hutněný po vrstvách </t>
  </si>
  <si>
    <t>Z1+SA1:  (3,4+6)*2*3*1,5</t>
  </si>
  <si>
    <t xml:space="preserve"> (6,4*3)*0,5</t>
  </si>
  <si>
    <t>SP1:  6,4*3,4</t>
  </si>
  <si>
    <t>211561111R00</t>
  </si>
  <si>
    <t>Výplň odvodňovacích žeber kam. hrubě drcen. 16-32 mm</t>
  </si>
  <si>
    <t>pod gabiony:  (1,25*2)*0,5*0,1*2</t>
  </si>
  <si>
    <t>213151121R00</t>
  </si>
  <si>
    <t xml:space="preserve">Montáž geotextílie </t>
  </si>
  <si>
    <t>Gabiony:(1,25*2,5)+(1,25*2)+(1*1,5)+(5*1,5)</t>
  </si>
  <si>
    <t>Z1:(6+3,4)*2*2,5</t>
  </si>
  <si>
    <t>SP1:  (6,4*3,4)*0,1</t>
  </si>
  <si>
    <t>SP1:  (3,4*6,4)*0,1</t>
  </si>
  <si>
    <t>SP1:  (3,4*6,4)*0,0079</t>
  </si>
  <si>
    <t xml:space="preserve">  (4+6)*2*0,4*1</t>
  </si>
  <si>
    <t>289474211R00</t>
  </si>
  <si>
    <t xml:space="preserve">Spárování zdiva hl. do 3 cm akt. maltou řádkového </t>
  </si>
  <si>
    <t>Z1:(6+3,4)*2*2,2</t>
  </si>
  <si>
    <t xml:space="preserve">  </t>
  </si>
  <si>
    <t>67352027</t>
  </si>
  <si>
    <t>Geotextilie silniční PK-Tex PP 60 230 g/m2</t>
  </si>
  <si>
    <t>Gabiony:(1,25*2,5)+(1,25*2)+(1*1,5)+(5*1,5)*1,2</t>
  </si>
  <si>
    <t>69365021</t>
  </si>
  <si>
    <t>Geotextilie s nakašírovaným filtračním rounem</t>
  </si>
  <si>
    <t>Z1:(6+3,4)*2*2,5*1,2</t>
  </si>
  <si>
    <t>311361221R00</t>
  </si>
  <si>
    <t xml:space="preserve">Výztuž nadzákladových zdí z betonářské ocelí 10216 </t>
  </si>
  <si>
    <t>327216121RT2</t>
  </si>
  <si>
    <t>Opěr.zeď gabion.š.paty 1m,v.1m,1 vrst,oko 100/50 včetně dodávky lomového kamene</t>
  </si>
  <si>
    <t>(1,25*2,5)+(1,25*2)+(1*1,5)+(5*1,5)</t>
  </si>
  <si>
    <t>14,625*0,5</t>
  </si>
  <si>
    <t>411101211R00</t>
  </si>
  <si>
    <t xml:space="preserve">Vytvoření prostupů pl. do 0,02 m2 </t>
  </si>
  <si>
    <t>prostupy ve stropě:   6</t>
  </si>
  <si>
    <t>411321315R00</t>
  </si>
  <si>
    <t xml:space="preserve">Stropy deskové ze železobetonu C 20/25 </t>
  </si>
  <si>
    <t>SA1:  (3,4*6,4)*0,3</t>
  </si>
  <si>
    <t>411351101RT6</t>
  </si>
  <si>
    <t>Bednění stropů deskových, bednění vlastní -zřízení systémové, včetně podepření, tl. stropu 36 cm</t>
  </si>
  <si>
    <t>SA1:  6*3</t>
  </si>
  <si>
    <t>411351102R00</t>
  </si>
  <si>
    <t xml:space="preserve">Bednění stropů deskových, vlastní - odstranění </t>
  </si>
  <si>
    <t>411361221R00</t>
  </si>
  <si>
    <t xml:space="preserve">Výztuž stropů z betonářské oceli 10216 </t>
  </si>
  <si>
    <t>413321315R00</t>
  </si>
  <si>
    <t xml:space="preserve">Překlad z betonu železového C 20/25 </t>
  </si>
  <si>
    <t>PR1:  (0,2*0,2)*1,5</t>
  </si>
  <si>
    <t>413351101R00</t>
  </si>
  <si>
    <t xml:space="preserve">Bednění nosníků š.do 600 mm, v.do 600 mm - zřízení </t>
  </si>
  <si>
    <t>PR1:  1,5</t>
  </si>
  <si>
    <t>413351103R00</t>
  </si>
  <si>
    <t xml:space="preserve">Bednění nosníků š.do 600, v.do 600 mm - odstranění </t>
  </si>
  <si>
    <t>413361221R00</t>
  </si>
  <si>
    <t xml:space="preserve">Výztuž překladů z betonářské oceli 10216 </t>
  </si>
  <si>
    <t>PR1:  0,02</t>
  </si>
  <si>
    <t xml:space="preserve">Bednění boční,stropní desky - zřízení </t>
  </si>
  <si>
    <t>SA1: (6,4+3)*2*0,6</t>
  </si>
  <si>
    <t xml:space="preserve">Bednění boční, stropní desky- odstranění </t>
  </si>
  <si>
    <t>564801200U00</t>
  </si>
  <si>
    <t xml:space="preserve">Podklad komunikací štěrkodrti 0/32 mm tl. 8cm </t>
  </si>
  <si>
    <t>SP2:  4,31</t>
  </si>
  <si>
    <t xml:space="preserve">Podklad komunikací štěrkodrti 16/32 tl 12cm </t>
  </si>
  <si>
    <t>SP1:  4,31</t>
  </si>
  <si>
    <t>591111111R00</t>
  </si>
  <si>
    <t xml:space="preserve">Kladení dlažby velké kostky,lože z kamen.tl. 5 cm </t>
  </si>
  <si>
    <t>58380155</t>
  </si>
  <si>
    <t>Kostka dlažební velká  15 -17 cm   1t=2,5m2</t>
  </si>
  <si>
    <t>(1/2,5)*4,31</t>
  </si>
  <si>
    <t>631312511R00</t>
  </si>
  <si>
    <t xml:space="preserve">Mazanina betonová tl. 5 - 8 cm C 12/15 </t>
  </si>
  <si>
    <t>spádová vrstva:  (6,4*3,4)*0,03</t>
  </si>
  <si>
    <t xml:space="preserve">  (6,4*3,4)*0,06/2</t>
  </si>
  <si>
    <t>631313621R00</t>
  </si>
  <si>
    <t xml:space="preserve">Mazanina betonová tl. 8 - 12 cm C 20/25 </t>
  </si>
  <si>
    <t>SP1:  (3*6)*0,1</t>
  </si>
  <si>
    <t>631319022U00</t>
  </si>
  <si>
    <t xml:space="preserve">Přípl mazanina-12 přehlazení+cement </t>
  </si>
  <si>
    <t xml:space="preserve">Příplatek za stržení spodního povrchu mazaniny </t>
  </si>
  <si>
    <t>631319181R00</t>
  </si>
  <si>
    <t xml:space="preserve">Příplatek za sklon mazaniny 15°-35°  tl. 5 - 8 cm </t>
  </si>
  <si>
    <t>916161111RT1</t>
  </si>
  <si>
    <t>Osazení obruby z kostek velkých, s boční opěrou včetně kostek velkých 16 cm, lože BP 12,5</t>
  </si>
  <si>
    <t>SP2: 2,5*2</t>
  </si>
  <si>
    <t>SP1:  3,8*6,8</t>
  </si>
  <si>
    <t>SA1:  3,8*6,8</t>
  </si>
  <si>
    <t>711131101RT1</t>
  </si>
  <si>
    <t>Separační kluzná folie vodorovná pásy na sucho 1 vrstva - materiál ve specifikaci</t>
  </si>
  <si>
    <t>SA1:  3,6*6,4</t>
  </si>
  <si>
    <t>711141559RZ4</t>
  </si>
  <si>
    <t>Izolace proti vlhk. vodorovná pásy přitavením 2 vrstvy - včetně materiálu</t>
  </si>
  <si>
    <t>SA1:   3,4*6,4</t>
  </si>
  <si>
    <t>711801003R00</t>
  </si>
  <si>
    <t xml:space="preserve">Hydroizolace pro zelené střechy, filtrační rohož </t>
  </si>
  <si>
    <t>6281</t>
  </si>
  <si>
    <t>Separační folie  tl. 5 mm</t>
  </si>
  <si>
    <t>SA1:  (3,6*6,4)*2*1,2</t>
  </si>
  <si>
    <t>764881005AJ</t>
  </si>
  <si>
    <t>TiZn komínek odvětrávací, DN 110 mm v. 1200 mm tl.plechu 5 mm</t>
  </si>
  <si>
    <t xml:space="preserve">Kotvení gabionů </t>
  </si>
  <si>
    <t>1,2*12</t>
  </si>
  <si>
    <t>5533099</t>
  </si>
  <si>
    <t>Zárubeň ocelová  1100x1970x205 mm,povrchová úprava žárově zinkováno</t>
  </si>
  <si>
    <t>55340775</t>
  </si>
  <si>
    <t>Dveře kovové se zámkem  110x197 okno drátosklo ,povrchová úprava žárově zinkováno</t>
  </si>
  <si>
    <t>783851223R00</t>
  </si>
  <si>
    <t xml:space="preserve">Nátěr epoxidový betonových podlah 1+2 </t>
  </si>
  <si>
    <t>podlaha:  6*3</t>
  </si>
  <si>
    <t>sokl:  (3+6)*2*0,1</t>
  </si>
  <si>
    <t>783893122R00</t>
  </si>
  <si>
    <t xml:space="preserve">Nátěr betonových stěn Navom 2 bet dvojnásobný </t>
  </si>
  <si>
    <t>Z1:   (3+6)*2,2*2</t>
  </si>
  <si>
    <t xml:space="preserve"> Aktul. říjen 2014 -cel.roz.- přípočty+odpočty</t>
  </si>
  <si>
    <t>silnoproud:   0,3</t>
  </si>
  <si>
    <t>slaboproud:    0,3*2</t>
  </si>
  <si>
    <t xml:space="preserve">Vrtání jádrové do ŽB do D 100 mm </t>
  </si>
  <si>
    <t>970051100R00</t>
  </si>
  <si>
    <t>SP1:  (3*6)*0,00199*1,05</t>
  </si>
  <si>
    <t>Výztuž mazanin svařovanou sítí průměr drátu  5,0, oka 100/100 mm</t>
  </si>
  <si>
    <t>631361921RT2</t>
  </si>
  <si>
    <t>(43,24*8)*1,1</t>
  </si>
  <si>
    <t>Z1:(6+3,4)*2*2,3</t>
  </si>
  <si>
    <t>Ztracené bednění 500/200/200</t>
  </si>
  <si>
    <t>59011100</t>
  </si>
  <si>
    <t>SA1: (3,8*6,4)</t>
  </si>
  <si>
    <t>Z1+SA1:1,68</t>
  </si>
  <si>
    <t>základy :-0,16</t>
  </si>
  <si>
    <t>SO.12 Závlahy areálu zahrad Lednice</t>
  </si>
  <si>
    <t>ČERPACÍ TECHNOLOGIE</t>
  </si>
  <si>
    <t>1.01</t>
  </si>
  <si>
    <t xml:space="preserve">Nerezové pon. čerpadlo 400V 11kW YD </t>
  </si>
  <si>
    <t>1.02</t>
  </si>
  <si>
    <t xml:space="preserve">Frekvenční měnič 400V-15,0kW, 30A, bez čidla </t>
  </si>
  <si>
    <t>1.03</t>
  </si>
  <si>
    <t xml:space="preserve">Snímač tlaku -16bar 4-20mA IP65 </t>
  </si>
  <si>
    <t>1.04</t>
  </si>
  <si>
    <t xml:space="preserve">set pro snímač tlaku, umístění na motor </t>
  </si>
  <si>
    <t>FILTRAČNÍ TECHNOLOGIE a HLAVNÍ SESTAVA</t>
  </si>
  <si>
    <t>2.01</t>
  </si>
  <si>
    <t>Redukční ventil D15P, DN150</t>
  </si>
  <si>
    <t>2.02</t>
  </si>
  <si>
    <t xml:space="preserve">Mezipřírubová uzavírací klapka  - DN 150 - disk nerez </t>
  </si>
  <si>
    <t>2.03</t>
  </si>
  <si>
    <t>vodoměr DN100</t>
  </si>
  <si>
    <t>2.04</t>
  </si>
  <si>
    <t>automatický filtrační systém max. 110 m3/hod. 130 mic.</t>
  </si>
  <si>
    <t>2.05</t>
  </si>
  <si>
    <t xml:space="preserve">Pneumatický pohon pro kulové uzávěry přírubové - DN 150 </t>
  </si>
  <si>
    <t>2.06</t>
  </si>
  <si>
    <t xml:space="preserve">Kulový uzávěr přírubový na vodu - DN 150 </t>
  </si>
  <si>
    <t>2.07</t>
  </si>
  <si>
    <t>hladinové hlídání, jednotka, sondy, kabeláž</t>
  </si>
  <si>
    <t>2.08</t>
  </si>
  <si>
    <t>soubor armatur</t>
  </si>
  <si>
    <t>2.09</t>
  </si>
  <si>
    <t>elektroinstalační materiál, rozvaděč, kabeláž, jističe, trafa</t>
  </si>
  <si>
    <t>2.10</t>
  </si>
  <si>
    <t>PE-HD/PE 100,SDR 17(PN 10),Ø 90 x 5,4 mm</t>
  </si>
  <si>
    <t xml:space="preserve">m </t>
  </si>
  <si>
    <t>2.11</t>
  </si>
  <si>
    <t>spojky a tvarovky Ø 90</t>
  </si>
  <si>
    <t>PÁTEŘNÍ ROZVOD DN160</t>
  </si>
  <si>
    <t>3.01</t>
  </si>
  <si>
    <t>PVC tl. Roura PN10 160 x 6,2 x 6000 mm</t>
  </si>
  <si>
    <t>3.02</t>
  </si>
  <si>
    <t>PVC tl. Roura PN10 90 x 4,3 x 6000 mm</t>
  </si>
  <si>
    <t>3.03</t>
  </si>
  <si>
    <t>navrtávací pas bez uzávěru 150 x 2“ vnitrní závit</t>
  </si>
  <si>
    <t>3.04</t>
  </si>
  <si>
    <t>DG přechod 75 x 2,5“</t>
  </si>
  <si>
    <t>3.05</t>
  </si>
  <si>
    <t>DG přechod 63 x 2“</t>
  </si>
  <si>
    <t>3.06</t>
  </si>
  <si>
    <t>DG přechod 50 x 6/4“</t>
  </si>
  <si>
    <t>3.07</t>
  </si>
  <si>
    <t>Závitové redukce - vnější/vnitřní závity 2“ x 6/4“</t>
  </si>
  <si>
    <t>3.08</t>
  </si>
  <si>
    <t>Závitové redukce - vnější/vnitřní závity 2 1/2“ x 2“</t>
  </si>
  <si>
    <t>3.09</t>
  </si>
  <si>
    <t>3.10</t>
  </si>
  <si>
    <t>spojky, tvarovky a ostatní vodoinstalační materiál</t>
  </si>
  <si>
    <t>ROZVOD K ŠACHTICÍM S ELEKTROVENTILY A HYDRANTŮM</t>
  </si>
  <si>
    <t>4.01</t>
  </si>
  <si>
    <t>PE-HD/PE 100,SDR 17(PN 10),Ø 63 x 3,8 mm</t>
  </si>
  <si>
    <t>4.02</t>
  </si>
  <si>
    <t>PE-HD/PE 100,SDR 17(PN 10),Ø 75 x 4,5 mm</t>
  </si>
  <si>
    <t>4.03</t>
  </si>
  <si>
    <t>PE-HD/PE 100,SDR 17(PN 10),Ø 50 x 3,0 mm</t>
  </si>
  <si>
    <t>4.04</t>
  </si>
  <si>
    <t>spojky a tvarovky</t>
  </si>
  <si>
    <t>KOMPONENTY PRO ZÁVLAHOVÝ SYSTÉM</t>
  </si>
  <si>
    <t>OVLÁDACÍ JEDNOTKA A SENZORY</t>
  </si>
  <si>
    <t>5.01</t>
  </si>
  <si>
    <t>centrál dekodér jednotka  – kap. 50 sekcí</t>
  </si>
  <si>
    <t>5.02</t>
  </si>
  <si>
    <t>rozšiřující model 75 sekcí</t>
  </si>
  <si>
    <t>5.03</t>
  </si>
  <si>
    <t>uzemnění centrální jednotky</t>
  </si>
  <si>
    <t>5.04</t>
  </si>
  <si>
    <t>uzemnění ovládacího kabelu</t>
  </si>
  <si>
    <t>5.05</t>
  </si>
  <si>
    <t>meteostanice PRO-LT, kabelové propojení</t>
  </si>
  <si>
    <t>5.06</t>
  </si>
  <si>
    <t>inteligentní čidlo vlhkosti půdy</t>
  </si>
  <si>
    <t>5.07</t>
  </si>
  <si>
    <t>dekod. sign. pro 4 sek. á 1 sol., vč. Přepěť. ochrany</t>
  </si>
  <si>
    <t>ELEKTROMAGNETICKÉ VENTILY</t>
  </si>
  <si>
    <t>5.08</t>
  </si>
  <si>
    <t>Elektromagnetický ventil 1“, 24V, regulace průtoku</t>
  </si>
  <si>
    <t>5.09</t>
  </si>
  <si>
    <t>plynulá regulace tlaku pro ventily</t>
  </si>
  <si>
    <t>5.10</t>
  </si>
  <si>
    <t>PVC rozbočovač 1"IG/1"AG-3x1"AG (AG s maticí)</t>
  </si>
  <si>
    <t>5.11</t>
  </si>
  <si>
    <t>PVC záslepka 1"IG</t>
  </si>
  <si>
    <t>5.12</t>
  </si>
  <si>
    <t>vodotěsné konektory, max. 3x4,0 mm2, balení 10ks (cena / kus)</t>
  </si>
  <si>
    <t>5.13</t>
  </si>
  <si>
    <t>ventilová šachtice, 48,9 x 35,8 x 30,5 cm</t>
  </si>
  <si>
    <t>5.14</t>
  </si>
  <si>
    <t>datové dekoderový kabel  2 x 2,5 mm2</t>
  </si>
  <si>
    <t>5.15</t>
  </si>
  <si>
    <t>kabelová chránička s drátem 75</t>
  </si>
  <si>
    <t>POSTŘIKOVAČE A PRUŽNÉ PŘIPOJENÍ</t>
  </si>
  <si>
    <t>5.16</t>
  </si>
  <si>
    <t>výs.postř., výs. 30 cm, s regul. tlaku, zpětný ventil, pouze pouzdro</t>
  </si>
  <si>
    <t>5.17</t>
  </si>
  <si>
    <t>nastav. trysky z plast. hm.</t>
  </si>
  <si>
    <t>5.18</t>
  </si>
  <si>
    <t>závitová kolena (vnější závit) 20 x 31/2“</t>
  </si>
  <si>
    <t>5.19</t>
  </si>
  <si>
    <t>Pružné připojovací potrubí bal. 50 m</t>
  </si>
  <si>
    <t>5.20</t>
  </si>
  <si>
    <t>závitová kolena (vnější závit) 20 x 3/4“</t>
  </si>
  <si>
    <t xml:space="preserve">KAPKOVÁ ZÁVLAHA  A  MIKROZÁVLAHA </t>
  </si>
  <si>
    <t>KAPKOVÁ ZÁVLAHA</t>
  </si>
  <si>
    <t>5.21</t>
  </si>
  <si>
    <t xml:space="preserve">Kapkovací potrubí 16-2.0 L/H-spon 30 cm, </t>
  </si>
  <si>
    <t>5.22</t>
  </si>
  <si>
    <t xml:space="preserve">Zemní úchyt pro potrubí 16 mm, jednostranný, dl. 19 cm </t>
  </si>
  <si>
    <t>5.23</t>
  </si>
  <si>
    <t>Hlavice se 4-mi vývody pro kapkovací potrubí 16 mm</t>
  </si>
  <si>
    <t>5.24</t>
  </si>
  <si>
    <t>DF univerzální spojka přímá 16 pro kapkovací potrubí</t>
  </si>
  <si>
    <t>5.25</t>
  </si>
  <si>
    <t>DF univerzální T-kus 16x16x16 pro kapkovací potrubí</t>
  </si>
  <si>
    <t>5.26</t>
  </si>
  <si>
    <t>Koleno pro kapkové potrubí 16 mm</t>
  </si>
  <si>
    <t>5.27</t>
  </si>
  <si>
    <t>Svěrná objímka pro kapkové potrubí 16 mm</t>
  </si>
  <si>
    <t>5.28</t>
  </si>
  <si>
    <t xml:space="preserve">Spojovací potrubí (16 x 1,1,mm) bez kapkovačů, 50 m v balení </t>
  </si>
  <si>
    <t>MIKROZÁVLAHA</t>
  </si>
  <si>
    <t>5.29</t>
  </si>
  <si>
    <t>Kapkovač, 2 l/hod, s kompezací tlaku</t>
  </si>
  <si>
    <t>5.30</t>
  </si>
  <si>
    <t>Kapkovač, 4 l/hod, s kompezací tlaku</t>
  </si>
  <si>
    <t>5.31</t>
  </si>
  <si>
    <t>Kapkovač, 8 l/hod, s kompezací tlaku</t>
  </si>
  <si>
    <t>5.32</t>
  </si>
  <si>
    <t>Zavlažovací jehla s koncovým kapkovačem</t>
  </si>
  <si>
    <t>5.33</t>
  </si>
  <si>
    <t>5.34</t>
  </si>
  <si>
    <t>Konektory pro mikropotrubí PVC závit 1/4" / 4 mm</t>
  </si>
  <si>
    <t>5.35</t>
  </si>
  <si>
    <t>5.5 x 3.0 mm - flexibilní PVC typ 200</t>
  </si>
  <si>
    <t>SEKČNÍ POTRUBÍ A SPOJKY</t>
  </si>
  <si>
    <t>5.36</t>
  </si>
  <si>
    <t>Potrubí PE-MD (PN 7,5), Ø 40 mm</t>
  </si>
  <si>
    <t>5.37</t>
  </si>
  <si>
    <t>spojky a tvarovky 40 mm</t>
  </si>
  <si>
    <t>5.38</t>
  </si>
  <si>
    <t>"ALFA" PN6 pro odbočky k postřikovačům</t>
  </si>
  <si>
    <t>HYDRANTY 1“ - mosaz</t>
  </si>
  <si>
    <t>5.39</t>
  </si>
  <si>
    <t>rychlospojný ventil, 1" IG, mosaz, uzavírání víčka</t>
  </si>
  <si>
    <t>5.40</t>
  </si>
  <si>
    <t>klíč na ventil 1" AG - 5LRC, mosaz</t>
  </si>
  <si>
    <t>5.41</t>
  </si>
  <si>
    <t>otočná koncovka hadice pro klíč 55-K-1, mosaz</t>
  </si>
  <si>
    <t>5.42</t>
  </si>
  <si>
    <t xml:space="preserve">ventilová šachtice kruhová </t>
  </si>
  <si>
    <t>DOPOUŠTĚNÍ LAGUN</t>
  </si>
  <si>
    <t>6.01</t>
  </si>
  <si>
    <t>6.02</t>
  </si>
  <si>
    <t>Elektromagnetický ventil1“, 24V, regulace průtoku</t>
  </si>
  <si>
    <t>6.03</t>
  </si>
  <si>
    <t>ostatní vodoinstalační a elektroinstalační materiál</t>
  </si>
  <si>
    <t>6.04</t>
  </si>
  <si>
    <t xml:space="preserve">Oběhové čerpadlo 230/400V 1.5kW </t>
  </si>
  <si>
    <t>SOUČE KOMPONENTŮ SO-16 a SO-17 – ZÁVLAHY, ČERPACÍ A FILTRAČNÍ STANICE</t>
  </si>
  <si>
    <t>SOUČE KOMPONENTŮ SO-17 – ZÁVLAHY</t>
  </si>
  <si>
    <t>bez DPH</t>
  </si>
  <si>
    <t>ZEMNÍ PRÁCE A INSTALAČNÍ PRÁCE</t>
  </si>
  <si>
    <t>10.01</t>
  </si>
  <si>
    <t>Výkopové práce ( výkop rýhy, obsyp potrubí jemnozrn.mat., zásyp, hutnění)</t>
  </si>
  <si>
    <t>10.02</t>
  </si>
  <si>
    <t>Montáž a instalace čerpací, filtrační stanice a hlavní sestavy, revize</t>
  </si>
  <si>
    <t>10.03</t>
  </si>
  <si>
    <t>Montáž zavlažovacího systému rozsahu dle projektu, tlakové zkoušky</t>
  </si>
  <si>
    <t>10.04</t>
  </si>
  <si>
    <t>Podružný montážní materiál</t>
  </si>
  <si>
    <t>10.05</t>
  </si>
  <si>
    <t>Komplexní vyzkoušení</t>
  </si>
  <si>
    <t>hod.</t>
  </si>
  <si>
    <t>10.06</t>
  </si>
  <si>
    <t>Vypracování manuálu údržby</t>
  </si>
  <si>
    <t>10.07</t>
  </si>
  <si>
    <t>Zaškolení obsluhy na zařízení</t>
  </si>
  <si>
    <t>ZEMNÍ PRÁCE A INSTALAČNÍ PRÁCE – SO-16 a SO-17 – ZÁVLAHY, ČERPACÍ A FILTRAČNÍ STANICE</t>
  </si>
  <si>
    <t>SOUČE ZEMNÍCH PRACÍ A INSTALAČNÍCH PRACÍ</t>
  </si>
  <si>
    <t>CELKOVÝ SOUČET – ZÁVLAŽOVACÍ SYSTÉM – LEDNICE</t>
  </si>
  <si>
    <t>DPH 21%</t>
  </si>
  <si>
    <t>s DPH</t>
  </si>
  <si>
    <t>CENOVÁ NABÍDKA ZÁVLAHOVÉHO SYSTÉMU</t>
  </si>
  <si>
    <t>NÁZEV PROJEKTU:</t>
  </si>
  <si>
    <t>Labyrint přírody a ráj zahrad ZF Lednice - I. etapa</t>
  </si>
  <si>
    <t xml:space="preserve">DATUM: </t>
  </si>
  <si>
    <t>INVESTOR:</t>
  </si>
  <si>
    <t>Mendelova Univerzita, Zahradnická fakulta, Zemědělská 1, Brno</t>
  </si>
  <si>
    <t>VYPRACOVAL:</t>
  </si>
  <si>
    <t>Ing. Zuzana Konečná, Ing. Jakub Vejsada</t>
  </si>
  <si>
    <t>KÓD</t>
  </si>
  <si>
    <t>MODEL</t>
  </si>
  <si>
    <t>POPIS POLOŽKY</t>
  </si>
  <si>
    <t>JEDNOTKOVÁ CENA</t>
  </si>
  <si>
    <t>RABAT</t>
  </si>
  <si>
    <t>CENA PO SLEVĚ</t>
  </si>
  <si>
    <t>POČET</t>
  </si>
  <si>
    <t>CELKOVÁ CENA</t>
  </si>
  <si>
    <t xml:space="preserve">    OVLÁDACÍ SYSTÉM :</t>
  </si>
  <si>
    <t xml:space="preserve">  uzemnění centrální jednotky</t>
  </si>
  <si>
    <t xml:space="preserve">  dekodér signálu pro 4 x 1solenoid</t>
  </si>
  <si>
    <t xml:space="preserve">  dekodér signálu pro 1 x 1solenoidy</t>
  </si>
  <si>
    <t xml:space="preserve">  UZEMNĚNÍ</t>
  </si>
  <si>
    <t xml:space="preserve">  zemní odpor 50 ohm</t>
  </si>
  <si>
    <t xml:space="preserve">  zemní odpor 5 ohm</t>
  </si>
  <si>
    <t xml:space="preserve">  uzemnění ovládacího kabelu</t>
  </si>
  <si>
    <t xml:space="preserve">  meteostanice LT, kabelové propojení</t>
  </si>
  <si>
    <t xml:space="preserve">  Centrální ovládací jednotka vč. Rozvaděče</t>
  </si>
  <si>
    <t xml:space="preserve">  JY-TY 4x1,0mm2</t>
  </si>
  <si>
    <t xml:space="preserve">  CYKY 2x2,5mm2</t>
  </si>
  <si>
    <t xml:space="preserve">  CYKY 5x2,5mm2</t>
  </si>
  <si>
    <t xml:space="preserve">    OVLÁDACÍ VENTILY, ŠACHTICE </t>
  </si>
  <si>
    <t xml:space="preserve">  elektromagnetický ventil 1", 24V solenoid</t>
  </si>
  <si>
    <t xml:space="preserve">  plynulá regulace tlaku pro elektromagnetické ventily</t>
  </si>
  <si>
    <t xml:space="preserve">  vodotěsné konektory  , max. 3x4,0 mm2 </t>
  </si>
  <si>
    <t xml:space="preserve">  rychlospojný ventil 3/4" IG, mosaz</t>
  </si>
  <si>
    <t xml:space="preserve">  klíč na ventil 3/4" AG pro P-33, plast</t>
  </si>
  <si>
    <t xml:space="preserve">  otočná koncovka hadice, plast</t>
  </si>
  <si>
    <t xml:space="preserve">  rychlospojný ventil, 1" IG, mosaz, uzavírání víčka</t>
  </si>
  <si>
    <t xml:space="preserve">  klíč na ventil 1" AG pro 5 RC, mosaz</t>
  </si>
  <si>
    <t xml:space="preserve">  otočná koncovka hadice, mosaz</t>
  </si>
  <si>
    <t xml:space="preserve">  ventilová šachtice kruhová malá</t>
  </si>
  <si>
    <t xml:space="preserve">  ventilová šachtice 63 x 48 x 30,5 cm (LxŠxH)</t>
  </si>
  <si>
    <t xml:space="preserve">    POSTŘIKOVAČE A PŘÍSLUŠENSTVÍ</t>
  </si>
  <si>
    <t xml:space="preserve">  výsuvný postřikovač. jen pouzdra, výsuv 10 cm,zp. Ventil</t>
  </si>
  <si>
    <t xml:space="preserve">  výsuvný postřikovač., výsuv 40,0 cm, s regul. tlaku, zp. ventil,  jen pouz.</t>
  </si>
  <si>
    <t xml:space="preserve">  rotační tryska pro rozprašovací postřikovač, R=7,3m; 45°-270°</t>
  </si>
  <si>
    <t xml:space="preserve">  rotační tryska poloměr dostřiku 3,7-9,1 m</t>
  </si>
  <si>
    <t xml:space="preserve">  nástroj na nastavování výseče </t>
  </si>
  <si>
    <t xml:space="preserve"> pro rotační trysky</t>
  </si>
  <si>
    <t xml:space="preserve">  rozprašovací tryska s plynule nastavitelnou výsečí</t>
  </si>
  <si>
    <t xml:space="preserve">  výs. postř.s převod.mech výseč. s tryskou 3.0</t>
  </si>
  <si>
    <t xml:space="preserve">  šroubovák k rotačním postřikovačům</t>
  </si>
  <si>
    <t xml:space="preserve">  hadicová spojka, 3/4" k postřikovačům(sáček á 50ks)</t>
  </si>
  <si>
    <t xml:space="preserve">  hadicová spojka, 1/2" k postřikovačům(sáček á 50ks)</t>
  </si>
  <si>
    <t xml:space="preserve"> Flexibilní potrubí PE vnitř. Prům 12,7 mm role 100 m</t>
  </si>
  <si>
    <t xml:space="preserve">  Navrtávací pas 50/40/32 x 1/2"</t>
  </si>
  <si>
    <t xml:space="preserve">    MIKROZÁVLAHA A PŘÍSLUŠENSTVÍ</t>
  </si>
  <si>
    <t xml:space="preserve">  regulátor tlaku - 3,50 atm výstup (0,45-5m3/hod)</t>
  </si>
  <si>
    <t xml:space="preserve">  3/4" sestava - LF + 3/4" filtr s regulací tlaku</t>
  </si>
  <si>
    <t xml:space="preserve">  kapkovací  potrubí 16mm, 2.2l/h, 33cm, s komp. tlaku, 100m role</t>
  </si>
  <si>
    <t xml:space="preserve">  kapkovací potrubí 16mm, bez kapkovačů, role 100m, hnědé</t>
  </si>
  <si>
    <t xml:space="preserve">  + Tvarovky ku kapkovacímu potrubí</t>
  </si>
  <si>
    <t xml:space="preserve">   16x16, vkládané</t>
  </si>
  <si>
    <t xml:space="preserve">  MLŽÍCÍ TRYSKA FOGGER 7800 + VENTILEK PROTI ODKAPU</t>
  </si>
  <si>
    <t xml:space="preserve">    POTRUBÍ A TVAROVKY K PE POTRUBÍ</t>
  </si>
  <si>
    <t xml:space="preserve">  32 x 1,9 PE100, PE-HD</t>
  </si>
  <si>
    <t xml:space="preserve">  PE100, PE-HD PN10 potrubí, SDR-17, role 100m</t>
  </si>
  <si>
    <t xml:space="preserve">  + Tvarovky k PE 32 x 1,9</t>
  </si>
  <si>
    <t xml:space="preserve">  40 x 2,4 PE100, PE-HD</t>
  </si>
  <si>
    <t xml:space="preserve">  + Tvarovky k PE 40 x 2,4</t>
  </si>
  <si>
    <t xml:space="preserve">  50 x 3,0 PE100, PE-HD</t>
  </si>
  <si>
    <t xml:space="preserve">  + Tvarovky k PE 50 x 3,0</t>
  </si>
  <si>
    <t xml:space="preserve">  63 x 5,8 PE100, PE-HD</t>
  </si>
  <si>
    <t xml:space="preserve">  + Tvarovky k PE 63 x 5,8</t>
  </si>
  <si>
    <t xml:space="preserve">  90 x 8,2 PE100, PE-HD</t>
  </si>
  <si>
    <t xml:space="preserve">  + Tvarovky k PE 90 x 8,2</t>
  </si>
  <si>
    <t xml:space="preserve"> Navrtavací pas 63x1", vitřní závit</t>
  </si>
  <si>
    <t xml:space="preserve">  ŠOUPÁTKO ISO 63/63</t>
  </si>
  <si>
    <t xml:space="preserve">    FILTRACE, ČERPACÍ STANICE A PŘÍSLUŠENSTVÍ</t>
  </si>
  <si>
    <t xml:space="preserve">  Ocelový filtr DN80</t>
  </si>
  <si>
    <t xml:space="preserve">  75 mesh, PN 10, DN 80</t>
  </si>
  <si>
    <t xml:space="preserve">  Torpédo</t>
  </si>
  <si>
    <t xml:space="preserve">  speciální vložka filtru pro automatický proplach</t>
  </si>
  <si>
    <t xml:space="preserve">  Kulový ventil 6/4“ s elektro pohonem 24V</t>
  </si>
  <si>
    <t xml:space="preserve">  Ovládací jednotka 24VAC</t>
  </si>
  <si>
    <t xml:space="preserve">  jednosekční ovládací jednotka, 230/24 VAC</t>
  </si>
  <si>
    <t xml:space="preserve">  Uzavírací armatura DN 80</t>
  </si>
  <si>
    <t xml:space="preserve">  Měkcetěsnící klínové šoupátko DN 80</t>
  </si>
  <si>
    <t>Čerpadlo + příslušenství pro závlahy</t>
  </si>
  <si>
    <t xml:space="preserve">  Sací vertikální čerpadlo</t>
  </si>
  <si>
    <t xml:space="preserve">  čerpadlo s frekvenčním měničem, 400V, 5,5kW, </t>
  </si>
  <si>
    <t xml:space="preserve">  1-15m3/hod, 5,5bar</t>
  </si>
  <si>
    <t xml:space="preserve">  Zpětná klapka DN80</t>
  </si>
  <si>
    <t xml:space="preserve">  přírubová zpětná klapka DN 80</t>
  </si>
  <si>
    <t xml:space="preserve">  Přírubová redukce DN50/DN80</t>
  </si>
  <si>
    <t xml:space="preserve">  Přechod z příruby DN 80 na Potrubí Pe 90</t>
  </si>
  <si>
    <t xml:space="preserve">  Sací koš DN 65</t>
  </si>
  <si>
    <t xml:space="preserve">  Hlídaní hladiny</t>
  </si>
  <si>
    <t xml:space="preserve">  elektronické hlídaní spodní hladiny v nádrži</t>
  </si>
  <si>
    <t xml:space="preserve">  Snímač tlaku</t>
  </si>
  <si>
    <t xml:space="preserve">   0-10bar, 4-20mA, IP 65</t>
  </si>
  <si>
    <t xml:space="preserve">  Tlaková nádoba 60l</t>
  </si>
  <si>
    <t xml:space="preserve">  10bar, bezúdržbové provedení </t>
  </si>
  <si>
    <t xml:space="preserve">  5-ti cestná armatura</t>
  </si>
  <si>
    <t xml:space="preserve">  Flexo hadice 1" x 500, koleno, PN 10</t>
  </si>
  <si>
    <t xml:space="preserve">  Manometr boční do 10 bar</t>
  </si>
  <si>
    <t xml:space="preserve">  Kulový ventil 1" </t>
  </si>
  <si>
    <t xml:space="preserve">  Vsuvka mosaz 1"</t>
  </si>
  <si>
    <t xml:space="preserve">  Průtokoměr pulsní Qn = 15m3/hod</t>
  </si>
  <si>
    <t xml:space="preserve">  Navrtavací pás 90x1"</t>
  </si>
  <si>
    <t xml:space="preserve">  kovový navrtavací pás, PN 16</t>
  </si>
  <si>
    <t xml:space="preserve">    MONTÁŽ SYSTÉMU, VÝKOPOVÉ PRÁCE</t>
  </si>
  <si>
    <t xml:space="preserve">    VÝKOPOVÉ PRÁCE</t>
  </si>
  <si>
    <t xml:space="preserve"> (šířka 0,2m; výška 0,4m), výkop, obsyp, zásyp, hutnění</t>
  </si>
  <si>
    <t xml:space="preserve">    MONTÁŽ ČERPACÍ STANICE</t>
  </si>
  <si>
    <t xml:space="preserve">    MONTÁŽ ZAVLAŽOVACÍHO SYSTÉMU DLE PROJEKTU</t>
  </si>
  <si>
    <t xml:space="preserve">    PODRUŽNÝ MONTÁŽNÍ MATERIÁL</t>
  </si>
  <si>
    <t xml:space="preserve">    KOMPLEXNÍ VYZKOUŠENÍ</t>
  </si>
  <si>
    <t xml:space="preserve">    VYPRACOVÁNÍ MANUÁLU ÚDRŽBY</t>
  </si>
  <si>
    <t xml:space="preserve">    ZAŠKOLENÍ OBSLUHY </t>
  </si>
  <si>
    <t>PŘEHLED CELKOVÝCH NÁKLADŮ</t>
  </si>
  <si>
    <t xml:space="preserve">Celková poskytnutá sleva z ceníkových cen komponentů je   </t>
  </si>
  <si>
    <t xml:space="preserve">  Celkem bez DPH:</t>
  </si>
  <si>
    <t xml:space="preserve">  DPH 21%:</t>
  </si>
  <si>
    <t xml:space="preserve">  Celková částka vč. DPH:</t>
  </si>
  <si>
    <t>Městský mobiliář</t>
  </si>
  <si>
    <t>odpočet potrubí k zahradě Z10</t>
  </si>
  <si>
    <t>Cena celkem za stavbu rozpočet s DPH</t>
  </si>
  <si>
    <t>Cena celkem za stavbu PP s DPH</t>
  </si>
  <si>
    <t>Odpočty, přípočty, nové v PP</t>
  </si>
  <si>
    <t>Ventilační hlavice DN100</t>
  </si>
  <si>
    <t>Přivzdušňovací hlavice DN70-100</t>
  </si>
  <si>
    <t xml:space="preserve">Lapač střešních splavenin, plastový </t>
  </si>
  <si>
    <t>Potrubí z mědi pro vytápění, 15x1</t>
  </si>
  <si>
    <t>Potrubí z mědi pro vytápění, 18x1</t>
  </si>
  <si>
    <t>Potrubí z mědi pro vytápění, 22x1</t>
  </si>
  <si>
    <t>Izolace potrubí nátrubková, 15x10</t>
  </si>
  <si>
    <t>Izolace potrubí nátrubková, 18x10</t>
  </si>
  <si>
    <t>Izolace potrubí nátrubková, 22x10</t>
  </si>
  <si>
    <t>Otopné těleso ocelové ploché VK 11-060050</t>
  </si>
  <si>
    <t>Otopné těleso ocelové ploché VK 11-060060</t>
  </si>
  <si>
    <t>Otopné těleso ocelové ploché VK 11-060100</t>
  </si>
  <si>
    <t>Otopné těleso ocelové ploché VKU 22-020140</t>
  </si>
  <si>
    <t>Otopné těleso ocelové ploché VKU 22-020180</t>
  </si>
  <si>
    <t>Termostatická hlavice pro otopná tělesa VK</t>
  </si>
  <si>
    <t>Šroubení pro otopná tělesa VK + svorné šroubení</t>
  </si>
  <si>
    <t>Solární systém (solární akumulační zásobník  objemu 380lt s vnořeným zásobníkem TUV 120lt + 2x plochý kolektor 2,3m2 + regulace soláru a vytápění + propojovací sady topného a solárního okruhu + elektrická topná vložka 3kW + kotvící rám + přísluš.)</t>
  </si>
  <si>
    <t>Zápachová uzávěrka s kuličkou pro odkap kondenzátu</t>
  </si>
  <si>
    <t>Lapač střešních splavenin, plastový, DN70-100</t>
  </si>
  <si>
    <t>odpočet šachty k zahradě Z10</t>
  </si>
  <si>
    <t>technologie včetně přívodu odečtena</t>
  </si>
  <si>
    <t>Z0.10 - Vodovod, vnitřní okruh (nebude provedeno, necenit)</t>
  </si>
  <si>
    <t>Potrubí z trub PE, SDR11, 32x3 (nebude provedeno přípojení zahrady Z10, nacenit pouze 44 bm)</t>
  </si>
  <si>
    <t>Plastová šachta  instalační 1500/1500/1800mm, lit. poklop (nebude provedena šachta u zahrady Z10, nacenit pouze 1ks)</t>
  </si>
  <si>
    <t>Skříň pro wifi router se dvěma anténami pro dvě pásma, venkovní provedení na stožár, utěsněné prostupy (rozvody wi-fi v zahradách nebudou prováděny, necenit)</t>
  </si>
  <si>
    <t>Takto barevně odlišené položky s doplňkovým popisem budou naceněny dle tohoto popisu.</t>
  </si>
  <si>
    <t>Takto barevně odlišené položky s doplňkovým popisem nebudou naceněny vůbec.</t>
  </si>
  <si>
    <t>Wifi Router, do výše uvedené skříně-antény. Přístupový bod/klient pro bezdrátové sítě standardu 802.11g 54Mbps. Režimy AP, Infrastructure, PtP, PtMP, WDS, Universal Repeater. Šifrování WEP, WPA, WPA2, externi antena, Web management.  (rozvody wi-fi v zahradách nebudou prováděny, necenit)</t>
  </si>
  <si>
    <t>Převdoník optika-metalika do 1gbps (sm), průmyslové provedení -40 do +85 st.C  (rozvody wi-fi v zahradách nebudou prováděny, necenit)</t>
  </si>
  <si>
    <t>DC injektor pro napájení Wifi Routeru po PoE  (rozvody wi-fi v zahradách nebudou prováděny, necenit)</t>
  </si>
  <si>
    <t>Skříň pro ukončení optiky a metaliky, pro převodník, pro ukončení 230V, včetně potřebné svorkovnice. Montáž na stožár či konstrukci, 300x300x150mm  (rozvody wi-fi v zahradách nebudou prováděny, necenit)</t>
  </si>
  <si>
    <t>Hloubení kabelové rýhy 35cm šir., 60cm hlub.,zem.tř.4  (rozvody wi-fi v zahradách nebudou prováděny, nacenit pouze 8 bm)</t>
  </si>
  <si>
    <t>Zř.kab.lože,kop.pís.,tl.zás.vrst.10cm,cih.napříč,š.35cm (rozvody wi-fi v zahradách nebudou prováděny, nacenit pouze 8 bm)</t>
  </si>
  <si>
    <t>Ruční zához kab.rýhy 35cm,hloub. 60cm,zem.třídy 4 (rozvody wi-fi v zahradách nebudou prováděny, nacenit pouze 8 bm)</t>
  </si>
  <si>
    <t>Optický kabel 4vl.SM - D+M (zafouknutí do HDPE) (rozvody wi-fi v zahradách nebudou prováděny, nacenit pouze 140 bm)</t>
  </si>
  <si>
    <t>Optický kabel 16vl.SM - D+M (zafouknutí do HDPE) (rozvody wi-fi v zahradách nebudou prováděny, nacenit pouze 40 bm)</t>
  </si>
  <si>
    <t>TCEPKPFLE 5x4x0,8 dodávka (rozvody wi-fi v zahradách nebudou prováděny, nacenit pouze 30 bm)</t>
  </si>
  <si>
    <t>Tato část rozpočtu nebude naceněna!</t>
  </si>
  <si>
    <t>necenit!</t>
  </si>
  <si>
    <t>Tuto část rozpočtu necenit!</t>
  </si>
  <si>
    <t>Sloupek plotový  ZN 2000 mm+3 obj (odpočet původních sloupků malé výšky)</t>
  </si>
  <si>
    <t>Sloupek plotový EURO 1 ZN 2300 mm+3 obj (nové sloupky ve správné výšce - připočteno 69 sloupků - celkem 210)</t>
  </si>
  <si>
    <t>Naceněna pouze dílčí část, viz záložka položky.</t>
  </si>
  <si>
    <t xml:space="preserve">  Chránička DN90</t>
  </si>
  <si>
    <t xml:space="preserve">  Chránička DN63</t>
  </si>
  <si>
    <t xml:space="preserve">  Chránička DN40</t>
  </si>
  <si>
    <t>Pojížděný litinový poklop na šachtu</t>
  </si>
  <si>
    <t>Žlab 125/ 50 mm, uvnnitř budovy A,</t>
  </si>
  <si>
    <t>NEVYPLŇOVAT</t>
  </si>
  <si>
    <t>1/ VYBRANÉ NORMY</t>
  </si>
  <si>
    <t></t>
  </si>
  <si>
    <t>ČSN 83 9011 Technologie vegetačních úprav v krajině – Práce s půdou</t>
  </si>
  <si>
    <t>ČSN 83 9021 Technologie vegetačních úprav v krajině – Rostliny a jejich výsadba</t>
  </si>
  <si>
    <t>ČSN 83 9051 Technologie vegetačních úprav v krajině – Rozvojová a udržovací péče o vegetační plochy</t>
  </si>
  <si>
    <t>ČSN 83 9061 Technologie vegetačních úprav v krajině – Ochrana stromů, porostů a vegetačních ploch při stavebních pracích Česká technická norma</t>
  </si>
  <si>
    <t>ČSN 46 4902-1</t>
  </si>
  <si>
    <t>Výpěstky okrasných dřevin. 2001. 33 s.</t>
  </si>
  <si>
    <t xml:space="preserve">2/ VŠEOBECNÍ PODMÍNKY </t>
  </si>
  <si>
    <t>Součástí díla je zajištění potřebných záborů komunikací a ostatních veřejných ploch. Tyto práce jsou součástí dodávky a nebudou zvlášť hrazeny.</t>
  </si>
  <si>
    <t>V ceně jsou zahrnuty náklady na dodávku a montáž materiálů a výrobků podle specifikace, vč. dopravy na staveniště a vnitrostaveništní dopravy. Součástí díla jsou i náhrady uhynulých rostlin v období dle nabízené záruky, min. do 2 let.</t>
  </si>
  <si>
    <t>Nabídka zahrnuje provedení prací podle specifikace a výkazu výměr, vč. povinných zkoušek materiálů, vzorků a prací ve smyslu platných norem a předpisů. Předmětem díla a povinností zhotovitele je dále provedení veškerých kotevních a spojovacích prvků, pomocných konstrukcí, stavebních přípomocí a ostatních prací a dodávek přímo nespecifikovaných v těchto podkladech a projektové dokumentaci, ale nezbytných pro zhotovení a plnou funkčnost a požadovanou kvalitu díla.</t>
  </si>
  <si>
    <t>V ceně jsou zahrnuty náklady na odvoz přebytečného výkopku na skládku, vč. poplatků.</t>
  </si>
  <si>
    <t>Skladování: Místo pro uskladnění vykopaného materiálu určeného k dalšímu použití určí investor. Poplatky za skládku, nebo za uložení materiálů a výrobků k pozdějšímu použití jsou součástí jednotkové ceny a nebudou zvlášť hrazeny.</t>
  </si>
  <si>
    <t>V ceně jsou zahrnuty náklady na zjištění průběhu kolidujících inženýrských sítí a náklady na jejich ochranu.</t>
  </si>
  <si>
    <t>Pracovní prostory: Není - li jinak určeno, dojednají se pracovní prostory s ohledem na bezpečnostní předpisy s objednatelem nejpozději před zahájením prací.</t>
  </si>
  <si>
    <t>Prohlídka staveniště: Zhotovitel jako součást své nabídky předloží své písemné prohlášení, že se seznámil s podmínkami staveniště na základě osobní prohlídky.</t>
  </si>
  <si>
    <t>Původ a velikost rostlinného materiálu bude odsouhlasen v rámci autorského a technického dozoru a bude doložen prohlášením o původu rostlinného materiálu od dodavatele.</t>
  </si>
  <si>
    <t>Pěstební substráty pro výsadby budou doloženy chemickými rozbory půdy a rozbory zrnitosti a budou odsouhlaseny v rámci autorského dozoru.</t>
  </si>
  <si>
    <t>Práce ve výsadbové jámě stromů budou prováděny tak, aby podloží bylo nakypřené a byl zajištěn vsak vody. Nakypření povrchu podloží a jeho oddrenážování je součástí ceny nabídky a nebude zvlášť hrazeno.</t>
  </si>
  <si>
    <t>Zhotovitel je povinen před zasypáním podloží a před zakrytím výsadbové mísy dalšími konstrukcemi vyzvat v dostatečném předstihu zástupce objednatele k provedení kontroly kvality provedených prací. Zasypání a zakrytí výsadbové mísy je možné pouze na základě písemného souhlasu zástupce objednatele ve stavebním deníku.</t>
  </si>
  <si>
    <t xml:space="preserve">3/ PŘEDPOKLÁDANÝ ROZSAH PŘEDKLÁDANÝCH VZORKŮ: </t>
  </si>
  <si>
    <t>ukotvení stromu</t>
  </si>
  <si>
    <t>úprava výsadbové mísy</t>
  </si>
  <si>
    <t>úvazky a ochrana kmene</t>
  </si>
  <si>
    <t>chemické rozbory a rozbory zrnitosti pěstebních substrátů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</si>
</sst>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;\-#,##0"/>
    <numFmt numFmtId="170" formatCode="#,##0.00;\-#,##0.00"/>
    <numFmt numFmtId="171" formatCode="#,##0.000;\-#,##0.000"/>
    <numFmt numFmtId="172" formatCode="#,##0.00000;\-#,##0.00000"/>
    <numFmt numFmtId="173" formatCode="###0;\-###0"/>
    <numFmt numFmtId="174" formatCode="0.00%;\-0.00%"/>
    <numFmt numFmtId="175" formatCode="0.000"/>
    <numFmt numFmtId="176" formatCode="#,##0.00\ [$Kč-405];[Red]\-#,##0.00\ [$Kč-405]"/>
  </numFmts>
  <fonts count="139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u val="single"/>
      <sz val="8"/>
      <color indexed="10"/>
      <name val="Arial CE"/>
      <family val="2"/>
    </font>
    <font>
      <sz val="8"/>
      <color indexed="10"/>
      <name val="Arial CE"/>
      <family val="2"/>
    </font>
    <font>
      <i/>
      <sz val="8"/>
      <color indexed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b/>
      <sz val="14"/>
      <color indexed="10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 CE"/>
      <family val="2"/>
    </font>
    <font>
      <sz val="12"/>
      <name val="Formata"/>
      <family val="2"/>
    </font>
    <font>
      <sz val="8"/>
      <name val="MS Sans Serif"/>
      <family val="2"/>
    </font>
    <font>
      <sz val="13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color rgb="FFFF0000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11"/>
      <name val="Arial CE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u val="single"/>
      <sz val="11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b/>
      <sz val="9"/>
      <name val="Arial CE"/>
      <family val="2"/>
    </font>
    <font>
      <sz val="10"/>
      <color indexed="61"/>
      <name val="Arial"/>
      <family val="2"/>
    </font>
    <font>
      <sz val="10"/>
      <color indexed="61"/>
      <name val="Arial CE"/>
      <family val="2"/>
    </font>
    <font>
      <sz val="9"/>
      <color indexed="10"/>
      <name val="Arial"/>
      <family val="2"/>
    </font>
    <font>
      <sz val="9"/>
      <color theme="0"/>
      <name val="Times New Roman"/>
      <family val="1"/>
    </font>
    <font>
      <sz val="9"/>
      <color theme="0"/>
      <name val="Times New Roman CE"/>
      <family val="1"/>
    </font>
    <font>
      <b/>
      <sz val="18"/>
      <color indexed="10"/>
      <name val="Arial CE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theme="0"/>
      <name val="MS Sans Serif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2"/>
    </font>
    <font>
      <sz val="1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theme="0"/>
      <name val="Tahoma"/>
      <family val="2"/>
    </font>
    <font>
      <sz val="10"/>
      <color indexed="12"/>
      <name val="Arial CE"/>
      <family val="2"/>
    </font>
    <font>
      <b/>
      <sz val="36"/>
      <name val="Calibri"/>
      <family val="2"/>
      <scheme val="minor"/>
    </font>
    <font>
      <b/>
      <sz val="24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Arial CE"/>
      <family val="2"/>
    </font>
    <font>
      <b/>
      <sz val="18"/>
      <name val="Calibri"/>
      <family val="2"/>
      <scheme val="minor"/>
    </font>
    <font>
      <sz val="18"/>
      <name val="Arial CE"/>
      <family val="2"/>
    </font>
    <font>
      <b/>
      <sz val="18"/>
      <name val="Arial CE"/>
      <family val="2"/>
    </font>
    <font>
      <sz val="18"/>
      <color indexed="12"/>
      <name val="Arial CE"/>
      <family val="2"/>
    </font>
    <font>
      <b/>
      <sz val="11"/>
      <color indexed="12"/>
      <name val="Arial CE"/>
      <family val="2"/>
    </font>
    <font>
      <b/>
      <sz val="13"/>
      <color indexed="10"/>
      <name val="Arial CE"/>
      <family val="2"/>
    </font>
    <font>
      <b/>
      <i/>
      <sz val="10"/>
      <color indexed="12"/>
      <name val="Arial CE"/>
      <family val="2"/>
    </font>
    <font>
      <i/>
      <sz val="10"/>
      <color indexed="10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i/>
      <sz val="18"/>
      <color indexed="10"/>
      <name val="Arial CE"/>
      <family val="2"/>
    </font>
    <font>
      <b/>
      <sz val="18"/>
      <color indexed="12"/>
      <name val="Arial CE"/>
      <family val="2"/>
    </font>
    <font>
      <b/>
      <i/>
      <sz val="18"/>
      <name val="Calibri"/>
      <family val="2"/>
      <scheme val="minor"/>
    </font>
    <font>
      <i/>
      <sz val="18"/>
      <color indexed="12"/>
      <name val="Arial CE"/>
      <family val="2"/>
    </font>
    <font>
      <sz val="13"/>
      <color indexed="12"/>
      <name val="Arial CE"/>
      <family val="2"/>
    </font>
    <font>
      <i/>
      <sz val="15"/>
      <color indexed="12"/>
      <name val="Arial CE"/>
      <family val="2"/>
    </font>
    <font>
      <sz val="18"/>
      <color indexed="8"/>
      <name val="Arial CE"/>
      <family val="2"/>
    </font>
    <font>
      <b/>
      <i/>
      <sz val="18"/>
      <name val="Arial CE"/>
      <family val="2"/>
    </font>
    <font>
      <b/>
      <sz val="18"/>
      <color indexed="8"/>
      <name val="Arial CE"/>
      <family val="2"/>
    </font>
    <font>
      <b/>
      <i/>
      <sz val="18"/>
      <color indexed="12"/>
      <name val="Arial CE"/>
      <family val="2"/>
    </font>
    <font>
      <i/>
      <sz val="16"/>
      <color indexed="8"/>
      <name val="Arial CE"/>
      <family val="2"/>
    </font>
    <font>
      <b/>
      <u val="single"/>
      <sz val="18"/>
      <name val="Calibri"/>
      <family val="2"/>
      <scheme val="minor"/>
    </font>
    <font>
      <sz val="14"/>
      <name val="Webdings"/>
      <family val="1"/>
    </font>
    <font>
      <sz val="13"/>
      <color rgb="FFFF0000"/>
      <name val="Arial CE"/>
      <family val="2"/>
    </font>
    <font>
      <sz val="20"/>
      <name val="Arial CE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u val="single"/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sz val="14"/>
      <color rgb="FFFF0000"/>
      <name val="Arial"/>
      <family val="2"/>
    </font>
    <font>
      <b/>
      <i/>
      <sz val="9"/>
      <name val="Arial"/>
      <family val="2"/>
    </font>
    <font>
      <i/>
      <u val="single"/>
      <strike/>
      <sz val="10"/>
      <name val="Arial"/>
      <family val="2"/>
    </font>
    <font>
      <i/>
      <strike/>
      <sz val="9"/>
      <name val="Arial"/>
      <family val="2"/>
    </font>
    <font>
      <i/>
      <strike/>
      <sz val="10"/>
      <name val="Arial"/>
      <family val="2"/>
    </font>
    <font>
      <b/>
      <i/>
      <strike/>
      <sz val="10"/>
      <name val="Arial"/>
      <family val="2"/>
    </font>
    <font>
      <b/>
      <sz val="9"/>
      <color rgb="FFFF0000"/>
      <name val="Arial"/>
      <family val="2"/>
    </font>
    <font>
      <i/>
      <strike/>
      <sz val="8"/>
      <name val="Arial"/>
      <family val="2"/>
    </font>
    <font>
      <i/>
      <strike/>
      <sz val="8"/>
      <color indexed="12"/>
      <name val="Arial"/>
      <family val="2"/>
    </font>
    <font>
      <i/>
      <strike/>
      <sz val="10"/>
      <color indexed="12"/>
      <name val="Arial"/>
      <family val="2"/>
    </font>
    <font>
      <i/>
      <strike/>
      <sz val="9"/>
      <name val="Cambria"/>
      <family val="1"/>
    </font>
    <font>
      <i/>
      <strike/>
      <sz val="9"/>
      <name val="Arial CE"/>
      <family val="2"/>
    </font>
    <font>
      <b/>
      <strike/>
      <sz val="10"/>
      <name val="Arial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strike/>
      <sz val="10"/>
      <name val="Arial"/>
      <family val="2"/>
    </font>
    <font>
      <b/>
      <strike/>
      <sz val="14"/>
      <name val="Arial"/>
      <family val="2"/>
    </font>
    <font>
      <b/>
      <strike/>
      <sz val="12"/>
      <name val="Arial"/>
      <family val="2"/>
    </font>
    <font>
      <strike/>
      <sz val="8"/>
      <name val="Arial"/>
      <family val="2"/>
    </font>
    <font>
      <strike/>
      <sz val="8"/>
      <color indexed="17"/>
      <name val="Arial"/>
      <family val="2"/>
    </font>
    <font>
      <strike/>
      <sz val="10"/>
      <color indexed="17"/>
      <name val="Arial"/>
      <family val="2"/>
    </font>
    <font>
      <strike/>
      <sz val="8"/>
      <color indexed="12"/>
      <name val="Arial"/>
      <family val="2"/>
    </font>
    <font>
      <strike/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4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double"/>
    </border>
    <border>
      <left/>
      <right style="double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double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double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medium"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50" fillId="0" borderId="0">
      <alignment/>
      <protection locked="0"/>
    </xf>
    <xf numFmtId="0" fontId="50" fillId="0" borderId="0">
      <alignment/>
      <protection locked="0"/>
    </xf>
    <xf numFmtId="0" fontId="1" fillId="0" borderId="0">
      <alignment/>
      <protection/>
    </xf>
    <xf numFmtId="0" fontId="50" fillId="0" borderId="0">
      <alignment/>
      <protection locked="0"/>
    </xf>
    <xf numFmtId="0" fontId="2" fillId="0" borderId="0">
      <alignment/>
      <protection/>
    </xf>
    <xf numFmtId="0" fontId="50" fillId="0" borderId="0">
      <alignment/>
      <protection locked="0"/>
    </xf>
    <xf numFmtId="0" fontId="50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173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1" fillId="0" borderId="0" xfId="0" applyNumberFormat="1" applyFont="1"/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1" fillId="0" borderId="0" xfId="0" applyNumberFormat="1" applyFont="1"/>
    <xf numFmtId="0" fontId="5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Border="1"/>
    <xf numFmtId="164" fontId="4" fillId="0" borderId="5" xfId="0" applyNumberFormat="1" applyFont="1" applyBorder="1"/>
    <xf numFmtId="0" fontId="5" fillId="3" borderId="1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" fontId="4" fillId="0" borderId="0" xfId="0" applyNumberFormat="1" applyFont="1"/>
    <xf numFmtId="3" fontId="4" fillId="0" borderId="0" xfId="0" applyNumberFormat="1" applyFont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1" fillId="2" borderId="6" xfId="0" applyFont="1" applyFill="1" applyBorder="1"/>
    <xf numFmtId="0" fontId="8" fillId="2" borderId="6" xfId="0" applyFont="1" applyFill="1" applyBorder="1"/>
    <xf numFmtId="0" fontId="1" fillId="2" borderId="7" xfId="0" applyFont="1" applyFill="1" applyBorder="1"/>
    <xf numFmtId="3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4" fontId="5" fillId="2" borderId="15" xfId="0" applyNumberFormat="1" applyFont="1" applyFill="1" applyBorder="1" applyAlignment="1">
      <alignment horizontal="right"/>
    </xf>
    <xf numFmtId="4" fontId="5" fillId="2" borderId="16" xfId="0" applyNumberFormat="1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1" fillId="2" borderId="15" xfId="0" applyFont="1" applyFill="1" applyBorder="1"/>
    <xf numFmtId="0" fontId="8" fillId="2" borderId="16" xfId="0" applyFont="1" applyFill="1" applyBorder="1"/>
    <xf numFmtId="0" fontId="8" fillId="2" borderId="19" xfId="0" applyFont="1" applyFill="1" applyBorder="1"/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1" fillId="0" borderId="0" xfId="0" applyFont="1" applyBorder="1"/>
    <xf numFmtId="3" fontId="8" fillId="2" borderId="20" xfId="0" applyNumberFormat="1" applyFont="1" applyFill="1" applyBorder="1"/>
    <xf numFmtId="3" fontId="8" fillId="2" borderId="21" xfId="0" applyNumberFormat="1" applyFont="1" applyFill="1" applyBorder="1"/>
    <xf numFmtId="3" fontId="8" fillId="2" borderId="22" xfId="0" applyNumberFormat="1" applyFont="1" applyFill="1" applyBorder="1"/>
    <xf numFmtId="3" fontId="8" fillId="2" borderId="23" xfId="0" applyNumberFormat="1" applyFont="1" applyFill="1" applyBorder="1"/>
    <xf numFmtId="0" fontId="8" fillId="2" borderId="24" xfId="0" applyFont="1" applyFill="1" applyBorder="1"/>
    <xf numFmtId="0" fontId="8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5" xfId="0" applyNumberFormat="1" applyFont="1" applyBorder="1"/>
    <xf numFmtId="3" fontId="1" fillId="0" borderId="28" xfId="0" applyNumberFormat="1" applyFont="1" applyBorder="1"/>
    <xf numFmtId="49" fontId="4" fillId="0" borderId="29" xfId="0" applyNumberFormat="1" applyFont="1" applyBorder="1"/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49" fontId="8" fillId="2" borderId="2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1" fillId="0" borderId="30" xfId="22" applyNumberFormat="1" applyFont="1" applyBorder="1">
      <alignment/>
      <protection/>
    </xf>
    <xf numFmtId="49" fontId="1" fillId="0" borderId="30" xfId="22" applyNumberFormat="1" applyFont="1" applyBorder="1" applyAlignment="1">
      <alignment horizontal="right"/>
      <protection/>
    </xf>
    <xf numFmtId="49" fontId="8" fillId="0" borderId="30" xfId="22" applyNumberFormat="1" applyFont="1" applyBorder="1">
      <alignment/>
      <protection/>
    </xf>
    <xf numFmtId="0" fontId="1" fillId="0" borderId="31" xfId="0" applyNumberFormat="1" applyFont="1" applyBorder="1"/>
    <xf numFmtId="49" fontId="1" fillId="0" borderId="32" xfId="0" applyNumberFormat="1" applyFont="1" applyBorder="1" applyAlignment="1">
      <alignment horizontal="left"/>
    </xf>
    <xf numFmtId="0" fontId="1" fillId="0" borderId="33" xfId="22" applyFont="1" applyBorder="1">
      <alignment/>
      <protection/>
    </xf>
    <xf numFmtId="49" fontId="1" fillId="0" borderId="32" xfId="22" applyNumberFormat="1" applyFont="1" applyBorder="1">
      <alignment/>
      <protection/>
    </xf>
    <xf numFmtId="49" fontId="1" fillId="0" borderId="32" xfId="22" applyNumberFormat="1" applyFont="1" applyBorder="1" applyAlignment="1">
      <alignment horizontal="right"/>
      <protection/>
    </xf>
    <xf numFmtId="49" fontId="8" fillId="0" borderId="32" xfId="22" applyNumberFormat="1" applyFont="1" applyBorder="1">
      <alignment/>
      <protection/>
    </xf>
    <xf numFmtId="0" fontId="1" fillId="0" borderId="0" xfId="0" applyFont="1" applyAlignment="1">
      <alignment vertical="justify"/>
    </xf>
    <xf numFmtId="0" fontId="7" fillId="0" borderId="0" xfId="0" applyFont="1"/>
    <xf numFmtId="0" fontId="7" fillId="2" borderId="34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" fillId="0" borderId="3" xfId="0" applyFont="1" applyBorder="1"/>
    <xf numFmtId="0" fontId="1" fillId="0" borderId="35" xfId="0" applyFont="1" applyBorder="1"/>
    <xf numFmtId="165" fontId="1" fillId="0" borderId="3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36" xfId="0" applyFont="1" applyBorder="1"/>
    <xf numFmtId="0" fontId="1" fillId="0" borderId="37" xfId="0" applyFont="1" applyBorder="1"/>
    <xf numFmtId="165" fontId="1" fillId="0" borderId="37" xfId="0" applyNumberFormat="1" applyFont="1" applyBorder="1" applyAlignment="1">
      <alignment horizontal="right"/>
    </xf>
    <xf numFmtId="0" fontId="1" fillId="0" borderId="28" xfId="0" applyFont="1" applyBorder="1"/>
    <xf numFmtId="0" fontId="1" fillId="0" borderId="11" xfId="0" applyFont="1" applyBorder="1"/>
    <xf numFmtId="0" fontId="1" fillId="0" borderId="38" xfId="0" applyFont="1" applyBorder="1"/>
    <xf numFmtId="0" fontId="1" fillId="0" borderId="29" xfId="0" applyFont="1" applyBorder="1"/>
    <xf numFmtId="0" fontId="1" fillId="0" borderId="0" xfId="0" applyFont="1" applyFill="1" applyBorder="1"/>
    <xf numFmtId="0" fontId="1" fillId="0" borderId="5" xfId="0" applyFont="1" applyBorder="1"/>
    <xf numFmtId="0" fontId="1" fillId="0" borderId="4" xfId="0" applyFont="1" applyBorder="1"/>
    <xf numFmtId="166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8" fillId="2" borderId="15" xfId="0" applyFont="1" applyFill="1" applyBorder="1"/>
    <xf numFmtId="0" fontId="8" fillId="2" borderId="39" xfId="0" applyFont="1" applyFill="1" applyBorder="1"/>
    <xf numFmtId="0" fontId="8" fillId="2" borderId="17" xfId="0" applyFont="1" applyFill="1" applyBorder="1"/>
    <xf numFmtId="3" fontId="1" fillId="0" borderId="40" xfId="0" applyNumberFormat="1" applyFont="1" applyBorder="1"/>
    <xf numFmtId="0" fontId="1" fillId="0" borderId="34" xfId="0" applyFont="1" applyBorder="1"/>
    <xf numFmtId="3" fontId="1" fillId="0" borderId="6" xfId="0" applyNumberFormat="1" applyFont="1" applyBorder="1"/>
    <xf numFmtId="0" fontId="1" fillId="0" borderId="7" xfId="0" applyFont="1" applyBorder="1"/>
    <xf numFmtId="3" fontId="1" fillId="0" borderId="41" xfId="0" applyNumberFormat="1" applyFont="1" applyBorder="1"/>
    <xf numFmtId="3" fontId="1" fillId="0" borderId="2" xfId="0" applyNumberFormat="1" applyFont="1" applyBorder="1"/>
    <xf numFmtId="0" fontId="1" fillId="0" borderId="42" xfId="0" applyFont="1" applyBorder="1"/>
    <xf numFmtId="0" fontId="1" fillId="0" borderId="10" xfId="0" applyFont="1" applyBorder="1" applyAlignment="1">
      <alignment shrinkToFit="1"/>
    </xf>
    <xf numFmtId="0" fontId="1" fillId="0" borderId="13" xfId="0" applyFont="1" applyBorder="1"/>
    <xf numFmtId="0" fontId="1" fillId="0" borderId="43" xfId="0" applyFont="1" applyBorder="1"/>
    <xf numFmtId="0" fontId="1" fillId="0" borderId="17" xfId="0" applyFont="1" applyBorder="1"/>
    <xf numFmtId="3" fontId="1" fillId="0" borderId="16" xfId="0" applyNumberFormat="1" applyFont="1" applyBorder="1"/>
    <xf numFmtId="0" fontId="1" fillId="0" borderId="19" xfId="0" applyFont="1" applyBorder="1"/>
    <xf numFmtId="0" fontId="1" fillId="2" borderId="23" xfId="0" applyFont="1" applyFill="1" applyBorder="1" applyAlignment="1">
      <alignment horizontal="centerContinuous"/>
    </xf>
    <xf numFmtId="0" fontId="1" fillId="2" borderId="24" xfId="0" applyFont="1" applyFill="1" applyBorder="1" applyAlignment="1">
      <alignment horizontal="centerContinuous"/>
    </xf>
    <xf numFmtId="0" fontId="8" fillId="2" borderId="24" xfId="0" applyFont="1" applyFill="1" applyBorder="1" applyAlignment="1">
      <alignment horizontal="centerContinuous"/>
    </xf>
    <xf numFmtId="0" fontId="1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7" fillId="0" borderId="45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" xfId="0" applyFont="1" applyBorder="1"/>
    <xf numFmtId="0" fontId="4" fillId="0" borderId="42" xfId="0" applyFont="1" applyBorder="1"/>
    <xf numFmtId="0" fontId="4" fillId="0" borderId="4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/>
    <xf numFmtId="0" fontId="4" fillId="0" borderId="49" xfId="0" applyFont="1" applyBorder="1"/>
    <xf numFmtId="0" fontId="1" fillId="0" borderId="0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48" xfId="0" applyFont="1" applyBorder="1" applyAlignment="1">
      <alignment horizontal="left"/>
    </xf>
    <xf numFmtId="0" fontId="1" fillId="0" borderId="0" xfId="0" applyNumberFormat="1" applyFont="1"/>
    <xf numFmtId="0" fontId="1" fillId="0" borderId="0" xfId="0" applyNumberFormat="1" applyFont="1" applyBorder="1"/>
    <xf numFmtId="0" fontId="4" fillId="0" borderId="48" xfId="0" applyNumberFormat="1" applyFont="1" applyBorder="1" applyAlignment="1">
      <alignment horizontal="left"/>
    </xf>
    <xf numFmtId="0" fontId="4" fillId="0" borderId="12" xfId="0" applyNumberFormat="1" applyFont="1" applyBorder="1"/>
    <xf numFmtId="3" fontId="4" fillId="0" borderId="5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1" fillId="2" borderId="0" xfId="0" applyNumberFormat="1" applyFont="1" applyFill="1" applyBorder="1"/>
    <xf numFmtId="49" fontId="8" fillId="2" borderId="0" xfId="0" applyNumberFormat="1" applyFont="1" applyFill="1" applyBorder="1"/>
    <xf numFmtId="49" fontId="1" fillId="2" borderId="5" xfId="0" applyNumberFormat="1" applyFont="1" applyFill="1" applyBorder="1"/>
    <xf numFmtId="49" fontId="8" fillId="2" borderId="29" xfId="0" applyNumberFormat="1" applyFont="1" applyFill="1" applyBorder="1"/>
    <xf numFmtId="0" fontId="1" fillId="0" borderId="0" xfId="0" applyFont="1" applyFill="1"/>
    <xf numFmtId="0" fontId="4" fillId="0" borderId="12" xfId="0" applyFont="1" applyFill="1" applyBorder="1"/>
    <xf numFmtId="49" fontId="4" fillId="0" borderId="3" xfId="0" applyNumberFormat="1" applyFont="1" applyBorder="1"/>
    <xf numFmtId="49" fontId="4" fillId="0" borderId="2" xfId="0" applyNumberFormat="1" applyFont="1" applyBorder="1"/>
    <xf numFmtId="0" fontId="8" fillId="0" borderId="42" xfId="0" applyFont="1" applyBorder="1"/>
    <xf numFmtId="0" fontId="4" fillId="0" borderId="50" xfId="0" applyFont="1" applyBorder="1" applyAlignment="1">
      <alignment horizontal="left"/>
    </xf>
    <xf numFmtId="49" fontId="1" fillId="2" borderId="3" xfId="0" applyNumberFormat="1" applyFont="1" applyFill="1" applyBorder="1"/>
    <xf numFmtId="49" fontId="1" fillId="2" borderId="2" xfId="0" applyNumberFormat="1" applyFont="1" applyFill="1" applyBorder="1"/>
    <xf numFmtId="49" fontId="8" fillId="2" borderId="2" xfId="0" applyNumberFormat="1" applyFont="1" applyFill="1" applyBorder="1"/>
    <xf numFmtId="49" fontId="8" fillId="2" borderId="42" xfId="0" applyNumberFormat="1" applyFont="1" applyFill="1" applyBorder="1"/>
    <xf numFmtId="49" fontId="4" fillId="0" borderId="50" xfId="0" applyNumberFormat="1" applyFont="1" applyBorder="1" applyAlignment="1">
      <alignment horizontal="left"/>
    </xf>
    <xf numFmtId="49" fontId="4" fillId="0" borderId="40" xfId="0" applyNumberFormat="1" applyFont="1" applyBorder="1" applyAlignment="1">
      <alignment horizontal="left"/>
    </xf>
    <xf numFmtId="0" fontId="4" fillId="0" borderId="47" xfId="0" applyFont="1" applyBorder="1"/>
    <xf numFmtId="49" fontId="4" fillId="2" borderId="17" xfId="0" applyNumberFormat="1" applyFont="1" applyFill="1" applyBorder="1" applyAlignment="1">
      <alignment horizontal="centerContinuous"/>
    </xf>
    <xf numFmtId="49" fontId="5" fillId="2" borderId="16" xfId="0" applyNumberFormat="1" applyFont="1" applyFill="1" applyBorder="1" applyAlignment="1">
      <alignment horizontal="left"/>
    </xf>
    <xf numFmtId="0" fontId="4" fillId="2" borderId="17" xfId="0" applyFont="1" applyFill="1" applyBorder="1" applyAlignment="1">
      <alignment horizontal="centerContinuous"/>
    </xf>
    <xf numFmtId="0" fontId="8" fillId="2" borderId="19" xfId="0" applyFont="1" applyFill="1" applyBorder="1" applyAlignment="1">
      <alignment horizontal="left"/>
    </xf>
    <xf numFmtId="0" fontId="1" fillId="0" borderId="51" xfId="0" applyFont="1" applyBorder="1" applyAlignment="1">
      <alignment horizontal="centerContinuous"/>
    </xf>
    <xf numFmtId="0" fontId="3" fillId="0" borderId="51" xfId="0" applyFont="1" applyBorder="1" applyAlignment="1">
      <alignment horizontal="centerContinuous" vertical="top"/>
    </xf>
    <xf numFmtId="0" fontId="1" fillId="0" borderId="0" xfId="22" applyFont="1">
      <alignment/>
      <protection/>
    </xf>
    <xf numFmtId="0" fontId="12" fillId="0" borderId="0" xfId="22" applyFont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/>
      <protection/>
    </xf>
    <xf numFmtId="0" fontId="1" fillId="0" borderId="32" xfId="22" applyFont="1" applyBorder="1">
      <alignment/>
      <protection/>
    </xf>
    <xf numFmtId="0" fontId="4" fillId="0" borderId="33" xfId="22" applyFont="1" applyBorder="1" applyAlignment="1">
      <alignment horizontal="right"/>
      <protection/>
    </xf>
    <xf numFmtId="49" fontId="1" fillId="0" borderId="32" xfId="22" applyNumberFormat="1" applyFont="1" applyBorder="1" applyAlignment="1">
      <alignment horizontal="left"/>
      <protection/>
    </xf>
    <xf numFmtId="0" fontId="1" fillId="0" borderId="31" xfId="22" applyFont="1" applyBorder="1">
      <alignment/>
      <protection/>
    </xf>
    <xf numFmtId="0" fontId="1" fillId="0" borderId="30" xfId="22" applyFont="1" applyBorder="1">
      <alignment/>
      <protection/>
    </xf>
    <xf numFmtId="0" fontId="4" fillId="0" borderId="0" xfId="22" applyFont="1">
      <alignment/>
      <protection/>
    </xf>
    <xf numFmtId="0" fontId="1" fillId="0" borderId="0" xfId="22" applyFont="1" applyAlignment="1">
      <alignment horizontal="right"/>
      <protection/>
    </xf>
    <xf numFmtId="0" fontId="1" fillId="0" borderId="0" xfId="22" applyFont="1" applyAlignment="1">
      <alignment/>
      <protection/>
    </xf>
    <xf numFmtId="49" fontId="4" fillId="2" borderId="12" xfId="22" applyNumberFormat="1" applyFont="1" applyFill="1" applyBorder="1">
      <alignment/>
      <protection/>
    </xf>
    <xf numFmtId="0" fontId="4" fillId="2" borderId="3" xfId="22" applyFont="1" applyFill="1" applyBorder="1" applyAlignment="1">
      <alignment horizontal="center"/>
      <protection/>
    </xf>
    <xf numFmtId="0" fontId="4" fillId="2" borderId="3" xfId="22" applyNumberFormat="1" applyFont="1" applyFill="1" applyBorder="1" applyAlignment="1">
      <alignment horizontal="center"/>
      <protection/>
    </xf>
    <xf numFmtId="0" fontId="4" fillId="2" borderId="12" xfId="22" applyFont="1" applyFill="1" applyBorder="1" applyAlignment="1">
      <alignment horizontal="center"/>
      <protection/>
    </xf>
    <xf numFmtId="0" fontId="4" fillId="2" borderId="12" xfId="22" applyFont="1" applyFill="1" applyBorder="1" applyAlignment="1">
      <alignment horizontal="center" wrapText="1"/>
      <protection/>
    </xf>
    <xf numFmtId="0" fontId="8" fillId="0" borderId="27" xfId="22" applyFont="1" applyBorder="1" applyAlignment="1">
      <alignment horizontal="center"/>
      <protection/>
    </xf>
    <xf numFmtId="49" fontId="8" fillId="0" borderId="27" xfId="22" applyNumberFormat="1" applyFont="1" applyBorder="1" applyAlignment="1">
      <alignment horizontal="left"/>
      <protection/>
    </xf>
    <xf numFmtId="0" fontId="8" fillId="0" borderId="1" xfId="22" applyFont="1" applyBorder="1">
      <alignment/>
      <protection/>
    </xf>
    <xf numFmtId="0" fontId="1" fillId="0" borderId="2" xfId="22" applyFont="1" applyBorder="1" applyAlignment="1">
      <alignment horizontal="center"/>
      <protection/>
    </xf>
    <xf numFmtId="0" fontId="1" fillId="0" borderId="2" xfId="22" applyNumberFormat="1" applyFont="1" applyBorder="1" applyAlignment="1">
      <alignment horizontal="right"/>
      <protection/>
    </xf>
    <xf numFmtId="0" fontId="1" fillId="0" borderId="3" xfId="22" applyNumberFormat="1" applyFont="1" applyBorder="1">
      <alignment/>
      <protection/>
    </xf>
    <xf numFmtId="0" fontId="1" fillId="0" borderId="52" xfId="22" applyNumberFormat="1" applyFont="1" applyFill="1" applyBorder="1">
      <alignment/>
      <protection/>
    </xf>
    <xf numFmtId="0" fontId="1" fillId="0" borderId="37" xfId="22" applyNumberFormat="1" applyFont="1" applyFill="1" applyBorder="1">
      <alignment/>
      <protection/>
    </xf>
    <xf numFmtId="0" fontId="1" fillId="0" borderId="52" xfId="22" applyFont="1" applyFill="1" applyBorder="1">
      <alignment/>
      <protection/>
    </xf>
    <xf numFmtId="0" fontId="1" fillId="0" borderId="37" xfId="22" applyFont="1" applyFill="1" applyBorder="1">
      <alignment/>
      <protection/>
    </xf>
    <xf numFmtId="0" fontId="14" fillId="0" borderId="0" xfId="22" applyFont="1">
      <alignment/>
      <protection/>
    </xf>
    <xf numFmtId="0" fontId="9" fillId="0" borderId="53" xfId="22" applyFont="1" applyBorder="1" applyAlignment="1">
      <alignment horizontal="center" vertical="top"/>
      <protection/>
    </xf>
    <xf numFmtId="49" fontId="9" fillId="0" borderId="53" xfId="22" applyNumberFormat="1" applyFont="1" applyBorder="1" applyAlignment="1">
      <alignment horizontal="left" vertical="top"/>
      <protection/>
    </xf>
    <xf numFmtId="0" fontId="9" fillId="0" borderId="53" xfId="22" applyFont="1" applyBorder="1" applyAlignment="1">
      <alignment vertical="top" wrapText="1"/>
      <protection/>
    </xf>
    <xf numFmtId="49" fontId="9" fillId="0" borderId="53" xfId="22" applyNumberFormat="1" applyFont="1" applyBorder="1" applyAlignment="1">
      <alignment horizontal="center" shrinkToFit="1"/>
      <protection/>
    </xf>
    <xf numFmtId="4" fontId="9" fillId="0" borderId="53" xfId="22" applyNumberFormat="1" applyFont="1" applyBorder="1" applyAlignment="1">
      <alignment horizontal="right"/>
      <protection/>
    </xf>
    <xf numFmtId="4" fontId="9" fillId="0" borderId="53" xfId="22" applyNumberFormat="1" applyFont="1" applyBorder="1">
      <alignment/>
      <protection/>
    </xf>
    <xf numFmtId="168" fontId="9" fillId="0" borderId="53" xfId="22" applyNumberFormat="1" applyFont="1" applyBorder="1">
      <alignment/>
      <protection/>
    </xf>
    <xf numFmtId="4" fontId="9" fillId="0" borderId="37" xfId="22" applyNumberFormat="1" applyFont="1" applyBorder="1">
      <alignment/>
      <protection/>
    </xf>
    <xf numFmtId="0" fontId="4" fillId="0" borderId="27" xfId="22" applyFont="1" applyBorder="1" applyAlignment="1">
      <alignment horizontal="center"/>
      <protection/>
    </xf>
    <xf numFmtId="49" fontId="4" fillId="0" borderId="27" xfId="22" applyNumberFormat="1" applyFont="1" applyBorder="1" applyAlignment="1">
      <alignment horizontal="right"/>
      <protection/>
    </xf>
    <xf numFmtId="4" fontId="15" fillId="4" borderId="54" xfId="22" applyNumberFormat="1" applyFont="1" applyFill="1" applyBorder="1" applyAlignment="1">
      <alignment horizontal="right" wrapText="1"/>
      <protection/>
    </xf>
    <xf numFmtId="0" fontId="15" fillId="4" borderId="4" xfId="22" applyFont="1" applyFill="1" applyBorder="1" applyAlignment="1">
      <alignment horizontal="left" wrapText="1"/>
      <protection/>
    </xf>
    <xf numFmtId="0" fontId="15" fillId="0" borderId="5" xfId="0" applyFont="1" applyBorder="1" applyAlignment="1">
      <alignment horizontal="right"/>
    </xf>
    <xf numFmtId="0" fontId="1" fillId="0" borderId="4" xfId="22" applyFont="1" applyBorder="1">
      <alignment/>
      <protection/>
    </xf>
    <xf numFmtId="4" fontId="1" fillId="0" borderId="5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7" fillId="0" borderId="0" xfId="22" applyFont="1" applyAlignment="1">
      <alignment wrapText="1"/>
      <protection/>
    </xf>
    <xf numFmtId="49" fontId="4" fillId="0" borderId="27" xfId="22" applyNumberFormat="1" applyFont="1" applyBorder="1" applyAlignment="1">
      <alignment horizontal="left"/>
      <protection/>
    </xf>
    <xf numFmtId="0" fontId="1" fillId="2" borderId="12" xfId="22" applyFont="1" applyFill="1" applyBorder="1" applyAlignment="1">
      <alignment horizontal="center"/>
      <protection/>
    </xf>
    <xf numFmtId="49" fontId="20" fillId="2" borderId="12" xfId="22" applyNumberFormat="1" applyFont="1" applyFill="1" applyBorder="1" applyAlignment="1">
      <alignment horizontal="left"/>
      <protection/>
    </xf>
    <xf numFmtId="0" fontId="20" fillId="2" borderId="1" xfId="22" applyFont="1" applyFill="1" applyBorder="1">
      <alignment/>
      <protection/>
    </xf>
    <xf numFmtId="0" fontId="1" fillId="2" borderId="2" xfId="22" applyFont="1" applyFill="1" applyBorder="1" applyAlignment="1">
      <alignment horizontal="center"/>
      <protection/>
    </xf>
    <xf numFmtId="4" fontId="1" fillId="2" borderId="2" xfId="22" applyNumberFormat="1" applyFont="1" applyFill="1" applyBorder="1" applyAlignment="1">
      <alignment horizontal="right"/>
      <protection/>
    </xf>
    <xf numFmtId="4" fontId="1" fillId="2" borderId="3" xfId="22" applyNumberFormat="1" applyFont="1" applyFill="1" applyBorder="1" applyAlignment="1">
      <alignment horizontal="right"/>
      <protection/>
    </xf>
    <xf numFmtId="4" fontId="8" fillId="2" borderId="12" xfId="22" applyNumberFormat="1" applyFont="1" applyFill="1" applyBorder="1">
      <alignment/>
      <protection/>
    </xf>
    <xf numFmtId="0" fontId="1" fillId="2" borderId="2" xfId="22" applyFont="1" applyFill="1" applyBorder="1">
      <alignment/>
      <protection/>
    </xf>
    <xf numFmtId="4" fontId="8" fillId="2" borderId="3" xfId="22" applyNumberFormat="1" applyFont="1" applyFill="1" applyBorder="1">
      <alignment/>
      <protection/>
    </xf>
    <xf numFmtId="3" fontId="1" fillId="0" borderId="0" xfId="22" applyNumberFormat="1" applyFont="1">
      <alignment/>
      <protection/>
    </xf>
    <xf numFmtId="4" fontId="18" fillId="4" borderId="54" xfId="22" applyNumberFormat="1" applyFont="1" applyFill="1" applyBorder="1" applyAlignment="1">
      <alignment horizontal="right" wrapText="1"/>
      <protection/>
    </xf>
    <xf numFmtId="0" fontId="21" fillId="0" borderId="0" xfId="22" applyFont="1" applyAlignment="1">
      <alignment/>
      <protection/>
    </xf>
    <xf numFmtId="0" fontId="10" fillId="0" borderId="0" xfId="22" applyFont="1" applyBorder="1">
      <alignment/>
      <protection/>
    </xf>
    <xf numFmtId="3" fontId="10" fillId="0" borderId="0" xfId="22" applyNumberFormat="1" applyFont="1" applyBorder="1" applyAlignment="1">
      <alignment horizontal="right"/>
      <protection/>
    </xf>
    <xf numFmtId="4" fontId="10" fillId="0" borderId="0" xfId="22" applyNumberFormat="1" applyFont="1" applyBorder="1">
      <alignment/>
      <protection/>
    </xf>
    <xf numFmtId="0" fontId="21" fillId="0" borderId="0" xfId="22" applyFont="1" applyBorder="1" applyAlignment="1">
      <alignment/>
      <protection/>
    </xf>
    <xf numFmtId="0" fontId="1" fillId="0" borderId="0" xfId="22" applyFont="1" applyBorder="1" applyAlignment="1">
      <alignment horizontal="right"/>
      <protection/>
    </xf>
    <xf numFmtId="0" fontId="0" fillId="0" borderId="0" xfId="0" applyFill="1"/>
    <xf numFmtId="0" fontId="0" fillId="0" borderId="0" xfId="0" applyNumberFormat="1" applyBorder="1"/>
    <xf numFmtId="0" fontId="0" fillId="0" borderId="0" xfId="0" applyNumberFormat="1"/>
    <xf numFmtId="0" fontId="0" fillId="0" borderId="0" xfId="0" applyBorder="1"/>
    <xf numFmtId="0" fontId="0" fillId="0" borderId="0" xfId="0" applyFont="1" applyFill="1" applyBorder="1" applyAlignment="1">
      <alignment/>
    </xf>
    <xf numFmtId="3" fontId="0" fillId="0" borderId="0" xfId="0" applyNumberFormat="1"/>
    <xf numFmtId="0" fontId="22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0" xfId="0" applyFont="1"/>
    <xf numFmtId="3" fontId="25" fillId="0" borderId="0" xfId="0" applyNumberFormat="1" applyFont="1"/>
    <xf numFmtId="4" fontId="25" fillId="0" borderId="0" xfId="0" applyNumberFormat="1" applyFont="1"/>
    <xf numFmtId="4" fontId="0" fillId="0" borderId="0" xfId="0" applyNumberFormat="1"/>
    <xf numFmtId="0" fontId="0" fillId="0" borderId="0" xfId="22">
      <alignment/>
      <protection/>
    </xf>
    <xf numFmtId="0" fontId="0" fillId="0" borderId="0" xfId="22" applyNumberFormat="1">
      <alignment/>
      <protection/>
    </xf>
    <xf numFmtId="0" fontId="26" fillId="0" borderId="0" xfId="22" applyFont="1">
      <alignment/>
      <protection/>
    </xf>
    <xf numFmtId="3" fontId="0" fillId="0" borderId="0" xfId="22" applyNumberFormat="1">
      <alignment/>
      <protection/>
    </xf>
    <xf numFmtId="0" fontId="0" fillId="0" borderId="0" xfId="22" applyBorder="1">
      <alignment/>
      <protection/>
    </xf>
    <xf numFmtId="0" fontId="27" fillId="0" borderId="0" xfId="22" applyFont="1" applyAlignment="1">
      <alignment/>
      <protection/>
    </xf>
    <xf numFmtId="0" fontId="0" fillId="0" borderId="0" xfId="22" applyAlignment="1">
      <alignment horizontal="right"/>
      <protection/>
    </xf>
    <xf numFmtId="0" fontId="28" fillId="0" borderId="0" xfId="22" applyFont="1" applyBorder="1">
      <alignment/>
      <protection/>
    </xf>
    <xf numFmtId="3" fontId="28" fillId="0" borderId="0" xfId="22" applyNumberFormat="1" applyFont="1" applyBorder="1" applyAlignment="1">
      <alignment horizontal="right"/>
      <protection/>
    </xf>
    <xf numFmtId="4" fontId="28" fillId="0" borderId="0" xfId="22" applyNumberFormat="1" applyFont="1" applyBorder="1">
      <alignment/>
      <protection/>
    </xf>
    <xf numFmtId="0" fontId="27" fillId="0" borderId="0" xfId="22" applyFont="1" applyBorder="1" applyAlignment="1">
      <alignment/>
      <protection/>
    </xf>
    <xf numFmtId="0" fontId="0" fillId="0" borderId="0" xfId="22" applyBorder="1" applyAlignment="1">
      <alignment horizontal="right"/>
      <protection/>
    </xf>
    <xf numFmtId="0" fontId="8" fillId="5" borderId="3" xfId="0" applyFont="1" applyFill="1" applyBorder="1" applyAlignment="1">
      <alignment horizontal="center" vertical="center" wrapText="1"/>
    </xf>
    <xf numFmtId="3" fontId="4" fillId="5" borderId="27" xfId="0" applyNumberFormat="1" applyFont="1" applyFill="1" applyBorder="1" applyAlignment="1">
      <alignment horizontal="right"/>
    </xf>
    <xf numFmtId="0" fontId="8" fillId="6" borderId="3" xfId="0" applyFont="1" applyFill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right"/>
    </xf>
    <xf numFmtId="3" fontId="4" fillId="6" borderId="27" xfId="0" applyNumberFormat="1" applyFont="1" applyFill="1" applyBorder="1" applyAlignment="1">
      <alignment horizontal="right"/>
    </xf>
    <xf numFmtId="0" fontId="8" fillId="7" borderId="3" xfId="0" applyFont="1" applyFill="1" applyBorder="1" applyAlignment="1">
      <alignment horizontal="center" vertical="center" wrapText="1"/>
    </xf>
    <xf numFmtId="3" fontId="5" fillId="7" borderId="5" xfId="0" applyNumberFormat="1" applyFont="1" applyFill="1" applyBorder="1" applyAlignment="1">
      <alignment horizontal="right"/>
    </xf>
    <xf numFmtId="3" fontId="5" fillId="7" borderId="27" xfId="0" applyNumberFormat="1" applyFont="1" applyFill="1" applyBorder="1" applyAlignment="1">
      <alignment horizontal="right" vertical="center"/>
    </xf>
    <xf numFmtId="0" fontId="3" fillId="0" borderId="51" xfId="20" applyFont="1" applyBorder="1" applyAlignment="1">
      <alignment horizontal="centerContinuous" vertical="top"/>
      <protection/>
    </xf>
    <xf numFmtId="0" fontId="1" fillId="0" borderId="51" xfId="20" applyFont="1" applyBorder="1" applyAlignment="1">
      <alignment horizontal="centerContinuous"/>
      <protection/>
    </xf>
    <xf numFmtId="0" fontId="1" fillId="0" borderId="0" xfId="20" applyFont="1">
      <alignment/>
      <protection/>
    </xf>
    <xf numFmtId="0" fontId="8" fillId="2" borderId="19" xfId="20" applyFont="1" applyFill="1" applyBorder="1" applyAlignment="1">
      <alignment horizontal="left"/>
      <protection/>
    </xf>
    <xf numFmtId="0" fontId="4" fillId="2" borderId="17" xfId="20" applyFont="1" applyFill="1" applyBorder="1" applyAlignment="1">
      <alignment horizontal="centerContinuous"/>
      <protection/>
    </xf>
    <xf numFmtId="49" fontId="5" fillId="2" borderId="16" xfId="20" applyNumberFormat="1" applyFont="1" applyFill="1" applyBorder="1" applyAlignment="1">
      <alignment horizontal="left"/>
      <protection/>
    </xf>
    <xf numFmtId="49" fontId="4" fillId="2" borderId="17" xfId="20" applyNumberFormat="1" applyFont="1" applyFill="1" applyBorder="1" applyAlignment="1">
      <alignment horizontal="centerContinuous"/>
      <protection/>
    </xf>
    <xf numFmtId="0" fontId="4" fillId="0" borderId="47" xfId="20" applyFont="1" applyBorder="1">
      <alignment/>
      <protection/>
    </xf>
    <xf numFmtId="49" fontId="4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3" xfId="20" applyFont="1" applyBorder="1">
      <alignment/>
      <protection/>
    </xf>
    <xf numFmtId="49" fontId="4" fillId="0" borderId="2" xfId="20" applyNumberFormat="1" applyFont="1" applyBorder="1">
      <alignment/>
      <protection/>
    </xf>
    <xf numFmtId="49" fontId="4" fillId="0" borderId="3" xfId="20" applyNumberFormat="1" applyFont="1" applyBorder="1">
      <alignment/>
      <protection/>
    </xf>
    <xf numFmtId="0" fontId="4" fillId="0" borderId="12" xfId="20" applyFont="1" applyBorder="1">
      <alignment/>
      <protection/>
    </xf>
    <xf numFmtId="0" fontId="4" fillId="0" borderId="50" xfId="20" applyFont="1" applyBorder="1" applyAlignment="1">
      <alignment horizontal="left"/>
      <protection/>
    </xf>
    <xf numFmtId="0" fontId="8" fillId="0" borderId="42" xfId="20" applyFont="1" applyBorder="1">
      <alignment/>
      <protection/>
    </xf>
    <xf numFmtId="49" fontId="4" fillId="0" borderId="50" xfId="20" applyNumberFormat="1" applyFont="1" applyBorder="1" applyAlignment="1">
      <alignment horizontal="left"/>
      <protection/>
    </xf>
    <xf numFmtId="49" fontId="8" fillId="2" borderId="42" xfId="20" applyNumberFormat="1" applyFont="1" applyFill="1" applyBorder="1">
      <alignment/>
      <protection/>
    </xf>
    <xf numFmtId="49" fontId="1" fillId="2" borderId="3" xfId="20" applyNumberFormat="1" applyFont="1" applyFill="1" applyBorder="1">
      <alignment/>
      <protection/>
    </xf>
    <xf numFmtId="49" fontId="8" fillId="2" borderId="2" xfId="20" applyNumberFormat="1" applyFont="1" applyFill="1" applyBorder="1">
      <alignment/>
      <protection/>
    </xf>
    <xf numFmtId="49" fontId="1" fillId="2" borderId="2" xfId="20" applyNumberFormat="1" applyFont="1" applyFill="1" applyBorder="1">
      <alignment/>
      <protection/>
    </xf>
    <xf numFmtId="0" fontId="4" fillId="0" borderId="12" xfId="20" applyFont="1" applyFill="1" applyBorder="1">
      <alignment/>
      <protection/>
    </xf>
    <xf numFmtId="3" fontId="4" fillId="0" borderId="50" xfId="20" applyNumberFormat="1" applyFont="1" applyBorder="1" applyAlignment="1">
      <alignment horizontal="left"/>
      <protection/>
    </xf>
    <xf numFmtId="0" fontId="1" fillId="0" borderId="0" xfId="20" applyFont="1" applyFill="1">
      <alignment/>
      <protection/>
    </xf>
    <xf numFmtId="49" fontId="8" fillId="2" borderId="29" xfId="20" applyNumberFormat="1" applyFont="1" applyFill="1" applyBorder="1">
      <alignment/>
      <protection/>
    </xf>
    <xf numFmtId="49" fontId="1" fillId="2" borderId="5" xfId="20" applyNumberFormat="1" applyFont="1" applyFill="1" applyBorder="1">
      <alignment/>
      <protection/>
    </xf>
    <xf numFmtId="49" fontId="8" fillId="2" borderId="0" xfId="20" applyNumberFormat="1" applyFont="1" applyFill="1" applyBorder="1">
      <alignment/>
      <protection/>
    </xf>
    <xf numFmtId="49" fontId="1" fillId="2" borderId="0" xfId="20" applyNumberFormat="1" applyFont="1" applyFill="1" applyBorder="1">
      <alignment/>
      <protection/>
    </xf>
    <xf numFmtId="49" fontId="4" fillId="0" borderId="12" xfId="20" applyNumberFormat="1" applyFont="1" applyBorder="1" applyAlignment="1">
      <alignment horizontal="left"/>
      <protection/>
    </xf>
    <xf numFmtId="0" fontId="4" fillId="0" borderId="49" xfId="20" applyFont="1" applyBorder="1">
      <alignment/>
      <protection/>
    </xf>
    <xf numFmtId="0" fontId="4" fillId="0" borderId="12" xfId="20" applyNumberFormat="1" applyFont="1" applyBorder="1">
      <alignment/>
      <protection/>
    </xf>
    <xf numFmtId="0" fontId="4" fillId="0" borderId="48" xfId="20" applyNumberFormat="1" applyFont="1" applyBorder="1" applyAlignment="1">
      <alignment horizontal="left"/>
      <protection/>
    </xf>
    <xf numFmtId="0" fontId="1" fillId="0" borderId="0" xfId="20" applyNumberFormat="1" applyFont="1" applyBorder="1">
      <alignment/>
      <protection/>
    </xf>
    <xf numFmtId="0" fontId="1" fillId="0" borderId="0" xfId="20" applyNumberFormat="1" applyFont="1">
      <alignment/>
      <protection/>
    </xf>
    <xf numFmtId="0" fontId="4" fillId="0" borderId="48" xfId="20" applyFont="1" applyBorder="1" applyAlignment="1">
      <alignment horizontal="left"/>
      <protection/>
    </xf>
    <xf numFmtId="0" fontId="1" fillId="0" borderId="0" xfId="20" applyFont="1" applyBorder="1">
      <alignment/>
      <protection/>
    </xf>
    <xf numFmtId="0" fontId="4" fillId="0" borderId="12" xfId="20" applyFont="1" applyFill="1" applyBorder="1" applyAlignment="1">
      <alignment/>
      <protection/>
    </xf>
    <xf numFmtId="0" fontId="4" fillId="0" borderId="48" xfId="20" applyFont="1" applyFill="1" applyBorder="1" applyAlignment="1">
      <alignment/>
      <protection/>
    </xf>
    <xf numFmtId="0" fontId="1" fillId="0" borderId="0" xfId="20" applyFont="1" applyFill="1" applyBorder="1" applyAlignment="1">
      <alignment/>
      <protection/>
    </xf>
    <xf numFmtId="0" fontId="4" fillId="0" borderId="12" xfId="20" applyFont="1" applyBorder="1" applyAlignment="1">
      <alignment/>
      <protection/>
    </xf>
    <xf numFmtId="0" fontId="4" fillId="0" borderId="48" xfId="20" applyFont="1" applyBorder="1" applyAlignment="1">
      <alignment/>
      <protection/>
    </xf>
    <xf numFmtId="3" fontId="1" fillId="0" borderId="0" xfId="20" applyNumberFormat="1" applyFont="1">
      <alignment/>
      <protection/>
    </xf>
    <xf numFmtId="0" fontId="4" fillId="0" borderId="42" xfId="20" applyFont="1" applyBorder="1">
      <alignment/>
      <protection/>
    </xf>
    <xf numFmtId="0" fontId="4" fillId="0" borderId="47" xfId="20" applyFont="1" applyBorder="1" applyAlignment="1">
      <alignment horizontal="left"/>
      <protection/>
    </xf>
    <xf numFmtId="0" fontId="4" fillId="0" borderId="9" xfId="20" applyFont="1" applyBorder="1" applyAlignment="1">
      <alignment horizontal="left"/>
      <protection/>
    </xf>
    <xf numFmtId="0" fontId="3" fillId="0" borderId="46" xfId="20" applyFont="1" applyBorder="1" applyAlignment="1">
      <alignment horizontal="centerContinuous" vertical="center"/>
      <protection/>
    </xf>
    <xf numFmtId="0" fontId="7" fillId="0" borderId="45" xfId="20" applyFont="1" applyBorder="1" applyAlignment="1">
      <alignment horizontal="centerContinuous" vertical="center"/>
      <protection/>
    </xf>
    <xf numFmtId="0" fontId="1" fillId="0" borderId="45" xfId="20" applyFont="1" applyBorder="1" applyAlignment="1">
      <alignment horizontal="centerContinuous" vertical="center"/>
      <protection/>
    </xf>
    <xf numFmtId="0" fontId="1" fillId="0" borderId="44" xfId="20" applyFont="1" applyBorder="1" applyAlignment="1">
      <alignment horizontal="centerContinuous" vertical="center"/>
      <protection/>
    </xf>
    <xf numFmtId="0" fontId="8" fillId="2" borderId="25" xfId="20" applyFont="1" applyFill="1" applyBorder="1" applyAlignment="1">
      <alignment horizontal="left"/>
      <protection/>
    </xf>
    <xf numFmtId="0" fontId="1" fillId="2" borderId="24" xfId="20" applyFont="1" applyFill="1" applyBorder="1" applyAlignment="1">
      <alignment horizontal="left"/>
      <protection/>
    </xf>
    <xf numFmtId="0" fontId="1" fillId="2" borderId="23" xfId="20" applyFont="1" applyFill="1" applyBorder="1" applyAlignment="1">
      <alignment horizontal="centerContinuous"/>
      <protection/>
    </xf>
    <xf numFmtId="0" fontId="8" fillId="2" borderId="24" xfId="20" applyFont="1" applyFill="1" applyBorder="1" applyAlignment="1">
      <alignment horizontal="centerContinuous"/>
      <protection/>
    </xf>
    <xf numFmtId="0" fontId="1" fillId="2" borderId="24" xfId="20" applyFont="1" applyFill="1" applyBorder="1" applyAlignment="1">
      <alignment horizontal="centerContinuous"/>
      <protection/>
    </xf>
    <xf numFmtId="0" fontId="1" fillId="0" borderId="43" xfId="20" applyFont="1" applyBorder="1">
      <alignment/>
      <protection/>
    </xf>
    <xf numFmtId="0" fontId="1" fillId="0" borderId="10" xfId="20" applyFont="1" applyBorder="1">
      <alignment/>
      <protection/>
    </xf>
    <xf numFmtId="3" fontId="1" fillId="0" borderId="40" xfId="20" applyNumberFormat="1" applyFont="1" applyBorder="1">
      <alignment/>
      <protection/>
    </xf>
    <xf numFmtId="0" fontId="1" fillId="0" borderId="19" xfId="20" applyFont="1" applyBorder="1">
      <alignment/>
      <protection/>
    </xf>
    <xf numFmtId="3" fontId="1" fillId="0" borderId="16" xfId="20" applyNumberFormat="1" applyFont="1" applyBorder="1">
      <alignment/>
      <protection/>
    </xf>
    <xf numFmtId="0" fontId="1" fillId="0" borderId="17" xfId="20" applyFont="1" applyBorder="1">
      <alignment/>
      <protection/>
    </xf>
    <xf numFmtId="3" fontId="1" fillId="0" borderId="2" xfId="20" applyNumberFormat="1" applyFont="1" applyBorder="1">
      <alignment/>
      <protection/>
    </xf>
    <xf numFmtId="0" fontId="1" fillId="0" borderId="3" xfId="20" applyFont="1" applyBorder="1">
      <alignment/>
      <protection/>
    </xf>
    <xf numFmtId="0" fontId="1" fillId="0" borderId="13" xfId="20" applyFont="1" applyBorder="1">
      <alignment/>
      <protection/>
    </xf>
    <xf numFmtId="0" fontId="1" fillId="0" borderId="10" xfId="20" applyFont="1" applyBorder="1" applyAlignment="1">
      <alignment shrinkToFit="1"/>
      <protection/>
    </xf>
    <xf numFmtId="0" fontId="1" fillId="0" borderId="14" xfId="20" applyFont="1" applyBorder="1">
      <alignment/>
      <protection/>
    </xf>
    <xf numFmtId="0" fontId="1" fillId="0" borderId="29" xfId="20" applyFont="1" applyBorder="1">
      <alignment/>
      <protection/>
    </xf>
    <xf numFmtId="3" fontId="1" fillId="0" borderId="41" xfId="20" applyNumberFormat="1" applyFont="1" applyBorder="1">
      <alignment/>
      <protection/>
    </xf>
    <xf numFmtId="0" fontId="1" fillId="0" borderId="7" xfId="20" applyFont="1" applyBorder="1">
      <alignment/>
      <protection/>
    </xf>
    <xf numFmtId="3" fontId="1" fillId="0" borderId="6" xfId="20" applyNumberFormat="1" applyFont="1" applyBorder="1">
      <alignment/>
      <protection/>
    </xf>
    <xf numFmtId="0" fontId="1" fillId="0" borderId="34" xfId="20" applyFont="1" applyBorder="1">
      <alignment/>
      <protection/>
    </xf>
    <xf numFmtId="0" fontId="8" fillId="2" borderId="19" xfId="20" applyFont="1" applyFill="1" applyBorder="1">
      <alignment/>
      <protection/>
    </xf>
    <xf numFmtId="0" fontId="8" fillId="2" borderId="16" xfId="20" applyFont="1" applyFill="1" applyBorder="1">
      <alignment/>
      <protection/>
    </xf>
    <xf numFmtId="0" fontId="8" fillId="2" borderId="17" xfId="20" applyFont="1" applyFill="1" applyBorder="1">
      <alignment/>
      <protection/>
    </xf>
    <xf numFmtId="0" fontId="8" fillId="2" borderId="39" xfId="20" applyFont="1" applyFill="1" applyBorder="1">
      <alignment/>
      <protection/>
    </xf>
    <xf numFmtId="0" fontId="8" fillId="2" borderId="15" xfId="20" applyFont="1" applyFill="1" applyBorder="1">
      <alignment/>
      <protection/>
    </xf>
    <xf numFmtId="0" fontId="1" fillId="0" borderId="5" xfId="20" applyFont="1" applyBorder="1">
      <alignment/>
      <protection/>
    </xf>
    <xf numFmtId="0" fontId="1" fillId="0" borderId="4" xfId="20" applyFont="1" applyBorder="1">
      <alignment/>
      <protection/>
    </xf>
    <xf numFmtId="0" fontId="1" fillId="0" borderId="28" xfId="20" applyFont="1" applyBorder="1">
      <alignment/>
      <protection/>
    </xf>
    <xf numFmtId="0" fontId="1" fillId="0" borderId="0" xfId="20" applyFont="1" applyBorder="1" applyAlignment="1">
      <alignment horizontal="right"/>
      <protection/>
    </xf>
    <xf numFmtId="166" fontId="1" fillId="0" borderId="0" xfId="20" applyNumberFormat="1" applyFont="1" applyBorder="1">
      <alignment/>
      <protection/>
    </xf>
    <xf numFmtId="0" fontId="1" fillId="0" borderId="0" xfId="20" applyFont="1" applyFill="1" applyBorder="1">
      <alignment/>
      <protection/>
    </xf>
    <xf numFmtId="0" fontId="1" fillId="0" borderId="11" xfId="20" applyFont="1" applyBorder="1">
      <alignment/>
      <protection/>
    </xf>
    <xf numFmtId="0" fontId="1" fillId="0" borderId="38" xfId="20" applyFont="1" applyBorder="1">
      <alignment/>
      <protection/>
    </xf>
    <xf numFmtId="0" fontId="1" fillId="0" borderId="36" xfId="20" applyFont="1" applyBorder="1">
      <alignment/>
      <protection/>
    </xf>
    <xf numFmtId="0" fontId="1" fillId="0" borderId="35" xfId="20" applyFont="1" applyBorder="1">
      <alignment/>
      <protection/>
    </xf>
    <xf numFmtId="165" fontId="1" fillId="0" borderId="37" xfId="20" applyNumberFormat="1" applyFont="1" applyBorder="1" applyAlignment="1">
      <alignment horizontal="right"/>
      <protection/>
    </xf>
    <xf numFmtId="0" fontId="1" fillId="0" borderId="37" xfId="20" applyFont="1" applyBorder="1">
      <alignment/>
      <protection/>
    </xf>
    <xf numFmtId="0" fontId="1" fillId="0" borderId="2" xfId="20" applyFont="1" applyBorder="1">
      <alignment/>
      <protection/>
    </xf>
    <xf numFmtId="165" fontId="1" fillId="0" borderId="3" xfId="20" applyNumberFormat="1" applyFont="1" applyBorder="1" applyAlignment="1">
      <alignment horizontal="right"/>
      <protection/>
    </xf>
    <xf numFmtId="0" fontId="7" fillId="2" borderId="7" xfId="20" applyFont="1" applyFill="1" applyBorder="1">
      <alignment/>
      <protection/>
    </xf>
    <xf numFmtId="0" fontId="7" fillId="2" borderId="6" xfId="20" applyFont="1" applyFill="1" applyBorder="1">
      <alignment/>
      <protection/>
    </xf>
    <xf numFmtId="0" fontId="7" fillId="2" borderId="34" xfId="20" applyFont="1" applyFill="1" applyBorder="1">
      <alignment/>
      <protection/>
    </xf>
    <xf numFmtId="0" fontId="7" fillId="0" borderId="0" xfId="20" applyFo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vertical="justify"/>
      <protection/>
    </xf>
    <xf numFmtId="4" fontId="1" fillId="0" borderId="0" xfId="20" applyNumberFormat="1" applyFont="1">
      <alignment/>
      <protection/>
    </xf>
    <xf numFmtId="4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0" fontId="8" fillId="0" borderId="0" xfId="20" applyFont="1">
      <alignment/>
      <protection/>
    </xf>
    <xf numFmtId="4" fontId="1" fillId="2" borderId="6" xfId="20" applyNumberFormat="1" applyFont="1" applyFill="1" applyBorder="1">
      <alignment/>
      <protection/>
    </xf>
    <xf numFmtId="4" fontId="1" fillId="2" borderId="7" xfId="20" applyNumberFormat="1" applyFont="1" applyFill="1" applyBorder="1">
      <alignment/>
      <protection/>
    </xf>
    <xf numFmtId="4" fontId="1" fillId="2" borderId="8" xfId="20" applyNumberFormat="1" applyFont="1" applyFill="1" applyBorder="1">
      <alignment/>
      <protection/>
    </xf>
    <xf numFmtId="0" fontId="1" fillId="2" borderId="6" xfId="20" applyFont="1" applyFill="1" applyBorder="1">
      <alignment/>
      <protection/>
    </xf>
    <xf numFmtId="0" fontId="8" fillId="2" borderId="6" xfId="20" applyFont="1" applyFill="1" applyBorder="1">
      <alignment/>
      <protection/>
    </xf>
    <xf numFmtId="0" fontId="1" fillId="2" borderId="7" xfId="20" applyFont="1" applyFill="1" applyBorder="1">
      <alignment/>
      <protection/>
    </xf>
    <xf numFmtId="3" fontId="1" fillId="0" borderId="9" xfId="20" applyNumberFormat="1" applyFont="1" applyBorder="1" applyAlignment="1">
      <alignment horizontal="right"/>
      <protection/>
    </xf>
    <xf numFmtId="4" fontId="1" fillId="0" borderId="10" xfId="20" applyNumberFormat="1" applyFont="1" applyBorder="1" applyAlignment="1">
      <alignment horizontal="right"/>
      <protection/>
    </xf>
    <xf numFmtId="3" fontId="1" fillId="0" borderId="11" xfId="20" applyNumberFormat="1" applyFont="1" applyBorder="1" applyAlignment="1">
      <alignment horizontal="right"/>
      <protection/>
    </xf>
    <xf numFmtId="165" fontId="1" fillId="0" borderId="12" xfId="20" applyNumberFormat="1" applyFont="1" applyBorder="1" applyAlignment="1">
      <alignment horizontal="right"/>
      <protection/>
    </xf>
    <xf numFmtId="3" fontId="1" fillId="0" borderId="13" xfId="20" applyNumberFormat="1" applyFont="1" applyBorder="1" applyAlignment="1">
      <alignment horizontal="right"/>
      <protection/>
    </xf>
    <xf numFmtId="0" fontId="1" fillId="0" borderId="9" xfId="20" applyFont="1" applyBorder="1">
      <alignment/>
      <protection/>
    </xf>
    <xf numFmtId="4" fontId="5" fillId="2" borderId="15" xfId="20" applyNumberFormat="1" applyFont="1" applyFill="1" applyBorder="1" applyAlignment="1">
      <alignment horizontal="right"/>
      <protection/>
    </xf>
    <xf numFmtId="4" fontId="5" fillId="2" borderId="16" xfId="20" applyNumberFormat="1" applyFont="1" applyFill="1" applyBorder="1" applyAlignment="1">
      <alignment horizontal="right"/>
      <protection/>
    </xf>
    <xf numFmtId="0" fontId="8" fillId="2" borderId="17" xfId="20" applyFont="1" applyFill="1" applyBorder="1" applyAlignment="1">
      <alignment horizontal="center"/>
      <protection/>
    </xf>
    <xf numFmtId="0" fontId="8" fillId="2" borderId="16" xfId="20" applyFont="1" applyFill="1" applyBorder="1" applyAlignment="1">
      <alignment horizontal="right"/>
      <protection/>
    </xf>
    <xf numFmtId="0" fontId="8" fillId="2" borderId="18" xfId="20" applyFont="1" applyFill="1" applyBorder="1" applyAlignment="1">
      <alignment horizontal="right"/>
      <protection/>
    </xf>
    <xf numFmtId="0" fontId="1" fillId="2" borderId="15" xfId="20" applyFont="1" applyFill="1" applyBorder="1">
      <alignment/>
      <protection/>
    </xf>
    <xf numFmtId="0" fontId="3" fillId="0" borderId="0" xfId="20" applyFont="1" applyAlignment="1">
      <alignment horizontal="centerContinuous"/>
      <protection/>
    </xf>
    <xf numFmtId="3" fontId="3" fillId="0" borderId="0" xfId="20" applyNumberFormat="1" applyFont="1" applyAlignment="1">
      <alignment horizontal="centerContinuous"/>
      <protection/>
    </xf>
    <xf numFmtId="3" fontId="8" fillId="2" borderId="20" xfId="20" applyNumberFormat="1" applyFont="1" applyFill="1" applyBorder="1">
      <alignment/>
      <protection/>
    </xf>
    <xf numFmtId="3" fontId="8" fillId="2" borderId="21" xfId="20" applyNumberFormat="1" applyFont="1" applyFill="1" applyBorder="1">
      <alignment/>
      <protection/>
    </xf>
    <xf numFmtId="3" fontId="8" fillId="2" borderId="22" xfId="20" applyNumberFormat="1" applyFont="1" applyFill="1" applyBorder="1">
      <alignment/>
      <protection/>
    </xf>
    <xf numFmtId="3" fontId="8" fillId="2" borderId="23" xfId="20" applyNumberFormat="1" applyFont="1" applyFill="1" applyBorder="1">
      <alignment/>
      <protection/>
    </xf>
    <xf numFmtId="0" fontId="8" fillId="2" borderId="24" xfId="20" applyFont="1" applyFill="1" applyBorder="1">
      <alignment/>
      <protection/>
    </xf>
    <xf numFmtId="0" fontId="8" fillId="2" borderId="25" xfId="20" applyFont="1" applyFill="1" applyBorder="1">
      <alignment/>
      <protection/>
    </xf>
    <xf numFmtId="3" fontId="1" fillId="0" borderId="26" xfId="20" applyNumberFormat="1" applyFont="1" applyBorder="1">
      <alignment/>
      <protection/>
    </xf>
    <xf numFmtId="3" fontId="1" fillId="0" borderId="27" xfId="20" applyNumberFormat="1" applyFont="1" applyBorder="1">
      <alignment/>
      <protection/>
    </xf>
    <xf numFmtId="3" fontId="1" fillId="0" borderId="5" xfId="20" applyNumberFormat="1" applyFont="1" applyBorder="1">
      <alignment/>
      <protection/>
    </xf>
    <xf numFmtId="3" fontId="1" fillId="0" borderId="28" xfId="20" applyNumberFormat="1" applyFont="1" applyBorder="1">
      <alignment/>
      <protection/>
    </xf>
    <xf numFmtId="0" fontId="4" fillId="0" borderId="0" xfId="20" applyFont="1" applyBorder="1">
      <alignment/>
      <protection/>
    </xf>
    <xf numFmtId="49" fontId="4" fillId="0" borderId="29" xfId="20" applyNumberFormat="1" applyFont="1" applyBorder="1">
      <alignment/>
      <protection/>
    </xf>
    <xf numFmtId="0" fontId="8" fillId="2" borderId="20" xfId="20" applyFont="1" applyFill="1" applyBorder="1" applyAlignment="1">
      <alignment horizontal="center"/>
      <protection/>
    </xf>
    <xf numFmtId="0" fontId="8" fillId="2" borderId="21" xfId="20" applyFont="1" applyFill="1" applyBorder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0" fontId="8" fillId="2" borderId="23" xfId="20" applyFont="1" applyFill="1" applyBorder="1" applyAlignment="1">
      <alignment horizontal="center"/>
      <protection/>
    </xf>
    <xf numFmtId="0" fontId="8" fillId="2" borderId="24" xfId="20" applyFont="1" applyFill="1" applyBorder="1" applyAlignment="1">
      <alignment horizontal="center"/>
      <protection/>
    </xf>
    <xf numFmtId="49" fontId="8" fillId="2" borderId="25" xfId="20" applyNumberFormat="1" applyFont="1" applyFill="1" applyBorder="1" applyAlignment="1">
      <alignment horizontal="center"/>
      <protection/>
    </xf>
    <xf numFmtId="0" fontId="3" fillId="0" borderId="0" xfId="20" applyFont="1" applyBorder="1" applyAlignment="1">
      <alignment horizontal="centerContinuous"/>
      <protection/>
    </xf>
    <xf numFmtId="49" fontId="3" fillId="0" borderId="0" xfId="20" applyNumberFormat="1" applyFont="1" applyAlignment="1">
      <alignment horizontal="centerContinuous"/>
      <protection/>
    </xf>
    <xf numFmtId="49" fontId="1" fillId="0" borderId="30" xfId="23" applyNumberFormat="1" applyFont="1" applyBorder="1">
      <alignment/>
      <protection/>
    </xf>
    <xf numFmtId="49" fontId="1" fillId="0" borderId="30" xfId="23" applyNumberFormat="1" applyFont="1" applyBorder="1" applyAlignment="1">
      <alignment horizontal="right"/>
      <protection/>
    </xf>
    <xf numFmtId="49" fontId="8" fillId="0" borderId="30" xfId="23" applyNumberFormat="1" applyFont="1" applyBorder="1">
      <alignment/>
      <protection/>
    </xf>
    <xf numFmtId="0" fontId="1" fillId="0" borderId="31" xfId="20" applyNumberFormat="1" applyFont="1" applyBorder="1">
      <alignment/>
      <protection/>
    </xf>
    <xf numFmtId="49" fontId="1" fillId="0" borderId="32" xfId="20" applyNumberFormat="1" applyFont="1" applyBorder="1" applyAlignment="1">
      <alignment horizontal="left"/>
      <protection/>
    </xf>
    <xf numFmtId="0" fontId="1" fillId="0" borderId="33" xfId="23" applyFont="1" applyBorder="1">
      <alignment/>
      <protection/>
    </xf>
    <xf numFmtId="49" fontId="1" fillId="0" borderId="32" xfId="23" applyNumberFormat="1" applyFont="1" applyBorder="1">
      <alignment/>
      <protection/>
    </xf>
    <xf numFmtId="49" fontId="1" fillId="0" borderId="32" xfId="23" applyNumberFormat="1" applyFont="1" applyBorder="1" applyAlignment="1">
      <alignment horizontal="right"/>
      <protection/>
    </xf>
    <xf numFmtId="49" fontId="8" fillId="0" borderId="32" xfId="23" applyNumberFormat="1" applyFont="1" applyBorder="1">
      <alignment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0" fontId="1" fillId="0" borderId="0" xfId="23" applyFont="1" applyBorder="1">
      <alignment/>
      <protection/>
    </xf>
    <xf numFmtId="0" fontId="1" fillId="0" borderId="0" xfId="23" applyFont="1" applyBorder="1" applyAlignment="1">
      <alignment horizontal="right"/>
      <protection/>
    </xf>
    <xf numFmtId="0" fontId="21" fillId="0" borderId="0" xfId="23" applyFont="1" applyBorder="1" applyAlignment="1">
      <alignment/>
      <protection/>
    </xf>
    <xf numFmtId="4" fontId="10" fillId="0" borderId="0" xfId="23" applyNumberFormat="1" applyFont="1" applyBorder="1">
      <alignment/>
      <protection/>
    </xf>
    <xf numFmtId="0" fontId="10" fillId="0" borderId="0" xfId="23" applyFont="1" applyBorder="1">
      <alignment/>
      <protection/>
    </xf>
    <xf numFmtId="3" fontId="10" fillId="0" borderId="0" xfId="23" applyNumberFormat="1" applyFont="1" applyBorder="1" applyAlignment="1">
      <alignment horizontal="right"/>
      <protection/>
    </xf>
    <xf numFmtId="0" fontId="21" fillId="0" borderId="0" xfId="23" applyFont="1" applyAlignment="1">
      <alignment/>
      <protection/>
    </xf>
    <xf numFmtId="3" fontId="1" fillId="0" borderId="0" xfId="23" applyNumberFormat="1" applyFont="1">
      <alignment/>
      <protection/>
    </xf>
    <xf numFmtId="0" fontId="14" fillId="0" borderId="0" xfId="23" applyFont="1">
      <alignment/>
      <protection/>
    </xf>
    <xf numFmtId="4" fontId="8" fillId="2" borderId="3" xfId="23" applyNumberFormat="1" applyFont="1" applyFill="1" applyBorder="1">
      <alignment/>
      <protection/>
    </xf>
    <xf numFmtId="0" fontId="1" fillId="2" borderId="2" xfId="23" applyFont="1" applyFill="1" applyBorder="1">
      <alignment/>
      <protection/>
    </xf>
    <xf numFmtId="4" fontId="8" fillId="2" borderId="12" xfId="23" applyNumberFormat="1" applyFont="1" applyFill="1" applyBorder="1">
      <alignment/>
      <protection/>
    </xf>
    <xf numFmtId="4" fontId="1" fillId="2" borderId="3" xfId="23" applyNumberFormat="1" applyFont="1" applyFill="1" applyBorder="1" applyAlignment="1">
      <alignment horizontal="right"/>
      <protection/>
    </xf>
    <xf numFmtId="4" fontId="1" fillId="2" borderId="2" xfId="23" applyNumberFormat="1" applyFont="1" applyFill="1" applyBorder="1" applyAlignment="1">
      <alignment horizontal="right"/>
      <protection/>
    </xf>
    <xf numFmtId="0" fontId="1" fillId="2" borderId="2" xfId="23" applyFont="1" applyFill="1" applyBorder="1" applyAlignment="1">
      <alignment horizontal="center"/>
      <protection/>
    </xf>
    <xf numFmtId="0" fontId="20" fillId="2" borderId="1" xfId="23" applyFont="1" applyFill="1" applyBorder="1">
      <alignment/>
      <protection/>
    </xf>
    <xf numFmtId="49" fontId="20" fillId="2" borderId="12" xfId="23" applyNumberFormat="1" applyFont="1" applyFill="1" applyBorder="1" applyAlignment="1">
      <alignment horizontal="left"/>
      <protection/>
    </xf>
    <xf numFmtId="0" fontId="1" fillId="2" borderId="12" xfId="23" applyFont="1" applyFill="1" applyBorder="1" applyAlignment="1">
      <alignment horizontal="center"/>
      <protection/>
    </xf>
    <xf numFmtId="4" fontId="9" fillId="0" borderId="37" xfId="23" applyNumberFormat="1" applyFont="1" applyBorder="1">
      <alignment/>
      <protection/>
    </xf>
    <xf numFmtId="168" fontId="9" fillId="0" borderId="53" xfId="23" applyNumberFormat="1" applyFont="1" applyBorder="1">
      <alignment/>
      <protection/>
    </xf>
    <xf numFmtId="4" fontId="9" fillId="0" borderId="53" xfId="23" applyNumberFormat="1" applyFont="1" applyBorder="1">
      <alignment/>
      <protection/>
    </xf>
    <xf numFmtId="4" fontId="9" fillId="0" borderId="53" xfId="23" applyNumberFormat="1" applyFont="1" applyBorder="1" applyAlignment="1">
      <alignment horizontal="right"/>
      <protection/>
    </xf>
    <xf numFmtId="49" fontId="9" fillId="0" borderId="53" xfId="23" applyNumberFormat="1" applyFont="1" applyBorder="1" applyAlignment="1">
      <alignment horizontal="center" shrinkToFit="1"/>
      <protection/>
    </xf>
    <xf numFmtId="0" fontId="9" fillId="0" borderId="53" xfId="23" applyFont="1" applyBorder="1" applyAlignment="1">
      <alignment vertical="top" wrapText="1"/>
      <protection/>
    </xf>
    <xf numFmtId="49" fontId="9" fillId="0" borderId="53" xfId="23" applyNumberFormat="1" applyFont="1" applyBorder="1" applyAlignment="1">
      <alignment horizontal="left" vertical="top"/>
      <protection/>
    </xf>
    <xf numFmtId="0" fontId="9" fillId="0" borderId="53" xfId="23" applyFont="1" applyBorder="1" applyAlignment="1">
      <alignment horizontal="center" vertical="top"/>
      <protection/>
    </xf>
    <xf numFmtId="0" fontId="1" fillId="0" borderId="37" xfId="23" applyFont="1" applyFill="1" applyBorder="1">
      <alignment/>
      <protection/>
    </xf>
    <xf numFmtId="0" fontId="1" fillId="0" borderId="52" xfId="23" applyFont="1" applyFill="1" applyBorder="1">
      <alignment/>
      <protection/>
    </xf>
    <xf numFmtId="0" fontId="1" fillId="0" borderId="37" xfId="23" applyNumberFormat="1" applyFont="1" applyFill="1" applyBorder="1">
      <alignment/>
      <protection/>
    </xf>
    <xf numFmtId="0" fontId="1" fillId="0" borderId="52" xfId="23" applyNumberFormat="1" applyFont="1" applyFill="1" applyBorder="1">
      <alignment/>
      <protection/>
    </xf>
    <xf numFmtId="0" fontId="1" fillId="0" borderId="3" xfId="23" applyNumberFormat="1" applyFont="1" applyBorder="1">
      <alignment/>
      <protection/>
    </xf>
    <xf numFmtId="0" fontId="1" fillId="0" borderId="2" xfId="23" applyNumberFormat="1" applyFont="1" applyBorder="1" applyAlignment="1">
      <alignment horizontal="right"/>
      <protection/>
    </xf>
    <xf numFmtId="0" fontId="1" fillId="0" borderId="2" xfId="23" applyFont="1" applyBorder="1" applyAlignment="1">
      <alignment horizontal="center"/>
      <protection/>
    </xf>
    <xf numFmtId="0" fontId="8" fillId="0" borderId="1" xfId="23" applyFont="1" applyBorder="1">
      <alignment/>
      <protection/>
    </xf>
    <xf numFmtId="49" fontId="8" fillId="0" borderId="27" xfId="23" applyNumberFormat="1" applyFont="1" applyBorder="1" applyAlignment="1">
      <alignment horizontal="left"/>
      <protection/>
    </xf>
    <xf numFmtId="0" fontId="8" fillId="0" borderId="27" xfId="23" applyFont="1" applyBorder="1" applyAlignment="1">
      <alignment horizontal="center"/>
      <protection/>
    </xf>
    <xf numFmtId="0" fontId="17" fillId="0" borderId="0" xfId="23" applyFont="1" applyAlignment="1">
      <alignment wrapText="1"/>
      <protection/>
    </xf>
    <xf numFmtId="4" fontId="1" fillId="0" borderId="5" xfId="23" applyNumberFormat="1" applyFont="1" applyBorder="1">
      <alignment/>
      <protection/>
    </xf>
    <xf numFmtId="0" fontId="1" fillId="0" borderId="4" xfId="23" applyFont="1" applyBorder="1">
      <alignment/>
      <protection/>
    </xf>
    <xf numFmtId="0" fontId="15" fillId="4" borderId="4" xfId="23" applyFont="1" applyFill="1" applyBorder="1" applyAlignment="1">
      <alignment horizontal="left" wrapText="1"/>
      <protection/>
    </xf>
    <xf numFmtId="4" fontId="15" fillId="4" borderId="54" xfId="23" applyNumberFormat="1" applyFont="1" applyFill="1" applyBorder="1" applyAlignment="1">
      <alignment horizontal="right" wrapText="1"/>
      <protection/>
    </xf>
    <xf numFmtId="49" fontId="4" fillId="0" borderId="27" xfId="23" applyNumberFormat="1" applyFont="1" applyBorder="1" applyAlignment="1">
      <alignment horizontal="right"/>
      <protection/>
    </xf>
    <xf numFmtId="0" fontId="4" fillId="0" borderId="27" xfId="23" applyFont="1" applyBorder="1" applyAlignment="1">
      <alignment horizontal="center"/>
      <protection/>
    </xf>
    <xf numFmtId="0" fontId="4" fillId="2" borderId="12" xfId="23" applyFont="1" applyFill="1" applyBorder="1" applyAlignment="1">
      <alignment horizontal="center" wrapText="1"/>
      <protection/>
    </xf>
    <xf numFmtId="0" fontId="4" fillId="2" borderId="12" xfId="23" applyFont="1" applyFill="1" applyBorder="1" applyAlignment="1">
      <alignment horizontal="center"/>
      <protection/>
    </xf>
    <xf numFmtId="0" fontId="4" fillId="2" borderId="3" xfId="23" applyFont="1" applyFill="1" applyBorder="1" applyAlignment="1">
      <alignment horizontal="center"/>
      <protection/>
    </xf>
    <xf numFmtId="0" fontId="4" fillId="2" borderId="3" xfId="23" applyNumberFormat="1" applyFont="1" applyFill="1" applyBorder="1" applyAlignment="1">
      <alignment horizontal="center"/>
      <protection/>
    </xf>
    <xf numFmtId="49" fontId="4" fillId="2" borderId="12" xfId="23" applyNumberFormat="1" applyFont="1" applyFill="1" applyBorder="1">
      <alignment/>
      <protection/>
    </xf>
    <xf numFmtId="0" fontId="1" fillId="0" borderId="0" xfId="23" applyFont="1" applyAlignment="1">
      <alignment/>
      <protection/>
    </xf>
    <xf numFmtId="0" fontId="4" fillId="0" borderId="0" xfId="23" applyFont="1">
      <alignment/>
      <protection/>
    </xf>
    <xf numFmtId="0" fontId="1" fillId="0" borderId="30" xfId="23" applyFont="1" applyBorder="1">
      <alignment/>
      <protection/>
    </xf>
    <xf numFmtId="0" fontId="1" fillId="0" borderId="31" xfId="23" applyFont="1" applyBorder="1">
      <alignment/>
      <protection/>
    </xf>
    <xf numFmtId="49" fontId="1" fillId="0" borderId="32" xfId="23" applyNumberFormat="1" applyFont="1" applyBorder="1" applyAlignment="1">
      <alignment horizontal="left"/>
      <protection/>
    </xf>
    <xf numFmtId="0" fontId="4" fillId="0" borderId="33" xfId="23" applyFont="1" applyBorder="1" applyAlignment="1">
      <alignment horizontal="right"/>
      <protection/>
    </xf>
    <xf numFmtId="0" fontId="1" fillId="0" borderId="32" xfId="23" applyFont="1" applyBorder="1">
      <alignment/>
      <protection/>
    </xf>
    <xf numFmtId="0" fontId="13" fillId="0" borderId="0" xfId="23" applyFont="1" applyAlignment="1">
      <alignment horizontal="centerContinuous"/>
      <protection/>
    </xf>
    <xf numFmtId="0" fontId="13" fillId="0" borderId="0" xfId="23" applyFont="1" applyAlignment="1">
      <alignment horizontal="right"/>
      <protection/>
    </xf>
    <xf numFmtId="0" fontId="12" fillId="0" borderId="0" xfId="23" applyFont="1" applyAlignment="1">
      <alignment horizontal="centerContinuous"/>
      <protection/>
    </xf>
    <xf numFmtId="3" fontId="5" fillId="7" borderId="12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29" fillId="0" borderId="0" xfId="0" applyNumberFormat="1" applyFont="1" applyAlignment="1" applyProtection="1">
      <alignment horizontal="right"/>
      <protection locked="0"/>
    </xf>
    <xf numFmtId="172" fontId="29" fillId="0" borderId="0" xfId="0" applyNumberFormat="1" applyFont="1" applyAlignment="1" applyProtection="1">
      <alignment horizontal="right"/>
      <protection locked="0"/>
    </xf>
    <xf numFmtId="170" fontId="29" fillId="0" borderId="0" xfId="0" applyNumberFormat="1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left" wrapText="1"/>
      <protection locked="0"/>
    </xf>
    <xf numFmtId="169" fontId="29" fillId="0" borderId="0" xfId="0" applyNumberFormat="1" applyFont="1" applyAlignment="1" applyProtection="1">
      <alignment horizontal="right"/>
      <protection locked="0"/>
    </xf>
    <xf numFmtId="171" fontId="30" fillId="0" borderId="55" xfId="0" applyNumberFormat="1" applyFont="1" applyBorder="1" applyAlignment="1" applyProtection="1">
      <alignment horizontal="right"/>
      <protection locked="0"/>
    </xf>
    <xf numFmtId="172" fontId="30" fillId="0" borderId="56" xfId="0" applyNumberFormat="1" applyFont="1" applyBorder="1" applyAlignment="1" applyProtection="1">
      <alignment horizontal="right"/>
      <protection locked="0"/>
    </xf>
    <xf numFmtId="170" fontId="30" fillId="0" borderId="56" xfId="0" applyNumberFormat="1" applyFont="1" applyBorder="1" applyAlignment="1" applyProtection="1">
      <alignment horizontal="right"/>
      <protection locked="0"/>
    </xf>
    <xf numFmtId="171" fontId="30" fillId="0" borderId="56" xfId="0" applyNumberFormat="1" applyFont="1" applyBorder="1" applyAlignment="1" applyProtection="1">
      <alignment horizontal="right"/>
      <protection locked="0"/>
    </xf>
    <xf numFmtId="0" fontId="30" fillId="0" borderId="56" xfId="0" applyFont="1" applyBorder="1" applyAlignment="1" applyProtection="1">
      <alignment horizontal="left" wrapText="1"/>
      <protection locked="0"/>
    </xf>
    <xf numFmtId="169" fontId="30" fillId="0" borderId="57" xfId="0" applyNumberFormat="1" applyFont="1" applyBorder="1" applyAlignment="1" applyProtection="1">
      <alignment horizontal="right"/>
      <protection locked="0"/>
    </xf>
    <xf numFmtId="171" fontId="31" fillId="0" borderId="55" xfId="0" applyNumberFormat="1" applyFont="1" applyBorder="1" applyAlignment="1" applyProtection="1">
      <alignment horizontal="right"/>
      <protection locked="0"/>
    </xf>
    <xf numFmtId="172" fontId="31" fillId="0" borderId="56" xfId="0" applyNumberFormat="1" applyFont="1" applyBorder="1" applyAlignment="1" applyProtection="1">
      <alignment horizontal="right"/>
      <protection locked="0"/>
    </xf>
    <xf numFmtId="170" fontId="31" fillId="0" borderId="56" xfId="0" applyNumberFormat="1" applyFont="1" applyBorder="1" applyAlignment="1" applyProtection="1">
      <alignment horizontal="right"/>
      <protection locked="0"/>
    </xf>
    <xf numFmtId="171" fontId="31" fillId="0" borderId="56" xfId="0" applyNumberFormat="1" applyFont="1" applyBorder="1" applyAlignment="1" applyProtection="1">
      <alignment horizontal="right"/>
      <protection locked="0"/>
    </xf>
    <xf numFmtId="0" fontId="31" fillId="0" borderId="56" xfId="0" applyFont="1" applyBorder="1" applyAlignment="1" applyProtection="1">
      <alignment horizontal="left" wrapText="1"/>
      <protection locked="0"/>
    </xf>
    <xf numFmtId="169" fontId="31" fillId="0" borderId="57" xfId="0" applyNumberFormat="1" applyFont="1" applyBorder="1" applyAlignment="1" applyProtection="1">
      <alignment horizontal="right"/>
      <protection locked="0"/>
    </xf>
    <xf numFmtId="171" fontId="23" fillId="0" borderId="55" xfId="0" applyNumberFormat="1" applyFont="1" applyBorder="1" applyAlignment="1" applyProtection="1">
      <alignment horizontal="right"/>
      <protection locked="0"/>
    </xf>
    <xf numFmtId="172" fontId="23" fillId="0" borderId="56" xfId="0" applyNumberFormat="1" applyFont="1" applyBorder="1" applyAlignment="1" applyProtection="1">
      <alignment horizontal="right"/>
      <protection locked="0"/>
    </xf>
    <xf numFmtId="170" fontId="23" fillId="0" borderId="56" xfId="0" applyNumberFormat="1" applyFont="1" applyBorder="1" applyAlignment="1" applyProtection="1">
      <alignment horizontal="right"/>
      <protection locked="0"/>
    </xf>
    <xf numFmtId="171" fontId="23" fillId="0" borderId="56" xfId="0" applyNumberFormat="1" applyFont="1" applyBorder="1" applyAlignment="1" applyProtection="1">
      <alignment horizontal="right"/>
      <protection locked="0"/>
    </xf>
    <xf numFmtId="0" fontId="23" fillId="0" borderId="56" xfId="0" applyFont="1" applyBorder="1" applyAlignment="1" applyProtection="1">
      <alignment horizontal="left" wrapText="1"/>
      <protection locked="0"/>
    </xf>
    <xf numFmtId="169" fontId="23" fillId="0" borderId="57" xfId="0" applyNumberFormat="1" applyFont="1" applyBorder="1" applyAlignment="1" applyProtection="1">
      <alignment horizontal="right"/>
      <protection locked="0"/>
    </xf>
    <xf numFmtId="171" fontId="23" fillId="0" borderId="58" xfId="0" applyNumberFormat="1" applyFont="1" applyBorder="1" applyAlignment="1" applyProtection="1">
      <alignment horizontal="right"/>
      <protection locked="0"/>
    </xf>
    <xf numFmtId="172" fontId="23" fillId="0" borderId="59" xfId="0" applyNumberFormat="1" applyFont="1" applyBorder="1" applyAlignment="1" applyProtection="1">
      <alignment horizontal="right"/>
      <protection locked="0"/>
    </xf>
    <xf numFmtId="170" fontId="23" fillId="0" borderId="59" xfId="0" applyNumberFormat="1" applyFont="1" applyBorder="1" applyAlignment="1" applyProtection="1">
      <alignment horizontal="right"/>
      <protection locked="0"/>
    </xf>
    <xf numFmtId="171" fontId="23" fillId="0" borderId="59" xfId="0" applyNumberFormat="1" applyFont="1" applyBorder="1" applyAlignment="1" applyProtection="1">
      <alignment horizontal="right"/>
      <protection locked="0"/>
    </xf>
    <xf numFmtId="0" fontId="23" fillId="0" borderId="59" xfId="0" applyFont="1" applyBorder="1" applyAlignment="1" applyProtection="1">
      <alignment horizontal="left" wrapText="1"/>
      <protection locked="0"/>
    </xf>
    <xf numFmtId="169" fontId="23" fillId="0" borderId="60" xfId="0" applyNumberFormat="1" applyFont="1" applyBorder="1" applyAlignment="1" applyProtection="1">
      <alignment horizontal="right"/>
      <protection locked="0"/>
    </xf>
    <xf numFmtId="171" fontId="23" fillId="0" borderId="61" xfId="0" applyNumberFormat="1" applyFont="1" applyBorder="1" applyAlignment="1" applyProtection="1">
      <alignment horizontal="right"/>
      <protection locked="0"/>
    </xf>
    <xf numFmtId="172" fontId="23" fillId="0" borderId="62" xfId="0" applyNumberFormat="1" applyFont="1" applyBorder="1" applyAlignment="1" applyProtection="1">
      <alignment horizontal="right"/>
      <protection locked="0"/>
    </xf>
    <xf numFmtId="170" fontId="23" fillId="0" borderId="62" xfId="0" applyNumberFormat="1" applyFont="1" applyBorder="1" applyAlignment="1" applyProtection="1">
      <alignment horizontal="right"/>
      <protection locked="0"/>
    </xf>
    <xf numFmtId="171" fontId="23" fillId="0" borderId="62" xfId="0" applyNumberFormat="1" applyFont="1" applyBorder="1" applyAlignment="1" applyProtection="1">
      <alignment horizontal="right"/>
      <protection locked="0"/>
    </xf>
    <xf numFmtId="0" fontId="23" fillId="0" borderId="62" xfId="0" applyFont="1" applyBorder="1" applyAlignment="1" applyProtection="1">
      <alignment horizontal="left" wrapText="1"/>
      <protection locked="0"/>
    </xf>
    <xf numFmtId="169" fontId="23" fillId="0" borderId="63" xfId="0" applyNumberFormat="1" applyFont="1" applyBorder="1" applyAlignment="1" applyProtection="1">
      <alignment horizontal="right"/>
      <protection locked="0"/>
    </xf>
    <xf numFmtId="171" fontId="31" fillId="0" borderId="58" xfId="0" applyNumberFormat="1" applyFont="1" applyBorder="1" applyAlignment="1" applyProtection="1">
      <alignment horizontal="right"/>
      <protection locked="0"/>
    </xf>
    <xf numFmtId="172" fontId="31" fillId="0" borderId="59" xfId="0" applyNumberFormat="1" applyFont="1" applyBorder="1" applyAlignment="1" applyProtection="1">
      <alignment horizontal="right"/>
      <protection locked="0"/>
    </xf>
    <xf numFmtId="170" fontId="31" fillId="0" borderId="59" xfId="0" applyNumberFormat="1" applyFont="1" applyBorder="1" applyAlignment="1" applyProtection="1">
      <alignment horizontal="right"/>
      <protection locked="0"/>
    </xf>
    <xf numFmtId="171" fontId="31" fillId="0" borderId="59" xfId="0" applyNumberFormat="1" applyFont="1" applyBorder="1" applyAlignment="1" applyProtection="1">
      <alignment horizontal="right"/>
      <protection locked="0"/>
    </xf>
    <xf numFmtId="0" fontId="31" fillId="0" borderId="59" xfId="0" applyFont="1" applyBorder="1" applyAlignment="1" applyProtection="1">
      <alignment horizontal="left" wrapText="1"/>
      <protection locked="0"/>
    </xf>
    <xf numFmtId="169" fontId="31" fillId="0" borderId="60" xfId="0" applyNumberFormat="1" applyFont="1" applyBorder="1" applyAlignment="1" applyProtection="1">
      <alignment horizontal="right"/>
      <protection locked="0"/>
    </xf>
    <xf numFmtId="171" fontId="31" fillId="0" borderId="61" xfId="0" applyNumberFormat="1" applyFont="1" applyBorder="1" applyAlignment="1" applyProtection="1">
      <alignment horizontal="right"/>
      <protection locked="0"/>
    </xf>
    <xf numFmtId="172" fontId="31" fillId="0" borderId="62" xfId="0" applyNumberFormat="1" applyFont="1" applyBorder="1" applyAlignment="1" applyProtection="1">
      <alignment horizontal="right"/>
      <protection locked="0"/>
    </xf>
    <xf numFmtId="170" fontId="31" fillId="0" borderId="62" xfId="0" applyNumberFormat="1" applyFont="1" applyBorder="1" applyAlignment="1" applyProtection="1">
      <alignment horizontal="right"/>
      <protection locked="0"/>
    </xf>
    <xf numFmtId="171" fontId="31" fillId="0" borderId="62" xfId="0" applyNumberFormat="1" applyFont="1" applyBorder="1" applyAlignment="1" applyProtection="1">
      <alignment horizontal="right"/>
      <protection locked="0"/>
    </xf>
    <xf numFmtId="0" fontId="31" fillId="0" borderId="62" xfId="0" applyFont="1" applyBorder="1" applyAlignment="1" applyProtection="1">
      <alignment horizontal="left" wrapText="1"/>
      <protection locked="0"/>
    </xf>
    <xf numFmtId="169" fontId="31" fillId="0" borderId="63" xfId="0" applyNumberFormat="1" applyFont="1" applyBorder="1" applyAlignment="1" applyProtection="1">
      <alignment horizontal="right"/>
      <protection locked="0"/>
    </xf>
    <xf numFmtId="171" fontId="31" fillId="0" borderId="64" xfId="0" applyNumberFormat="1" applyFont="1" applyBorder="1" applyAlignment="1" applyProtection="1">
      <alignment horizontal="right"/>
      <protection locked="0"/>
    </xf>
    <xf numFmtId="172" fontId="31" fillId="0" borderId="65" xfId="0" applyNumberFormat="1" applyFont="1" applyBorder="1" applyAlignment="1" applyProtection="1">
      <alignment horizontal="right"/>
      <protection locked="0"/>
    </xf>
    <xf numFmtId="170" fontId="31" fillId="0" borderId="65" xfId="0" applyNumberFormat="1" applyFont="1" applyBorder="1" applyAlignment="1" applyProtection="1">
      <alignment horizontal="right"/>
      <protection locked="0"/>
    </xf>
    <xf numFmtId="171" fontId="31" fillId="0" borderId="65" xfId="0" applyNumberFormat="1" applyFont="1" applyBorder="1" applyAlignment="1" applyProtection="1">
      <alignment horizontal="right"/>
      <protection locked="0"/>
    </xf>
    <xf numFmtId="0" fontId="31" fillId="0" borderId="65" xfId="0" applyFont="1" applyBorder="1" applyAlignment="1" applyProtection="1">
      <alignment horizontal="left" wrapText="1"/>
      <protection locked="0"/>
    </xf>
    <xf numFmtId="169" fontId="31" fillId="0" borderId="66" xfId="0" applyNumberFormat="1" applyFont="1" applyBorder="1" applyAlignment="1" applyProtection="1">
      <alignment horizontal="right"/>
      <protection locked="0"/>
    </xf>
    <xf numFmtId="171" fontId="23" fillId="0" borderId="64" xfId="0" applyNumberFormat="1" applyFont="1" applyBorder="1" applyAlignment="1" applyProtection="1">
      <alignment horizontal="right"/>
      <protection locked="0"/>
    </xf>
    <xf numFmtId="172" fontId="23" fillId="0" borderId="65" xfId="0" applyNumberFormat="1" applyFont="1" applyBorder="1" applyAlignment="1" applyProtection="1">
      <alignment horizontal="right"/>
      <protection locked="0"/>
    </xf>
    <xf numFmtId="170" fontId="23" fillId="0" borderId="65" xfId="0" applyNumberFormat="1" applyFont="1" applyBorder="1" applyAlignment="1" applyProtection="1">
      <alignment horizontal="right"/>
      <protection locked="0"/>
    </xf>
    <xf numFmtId="171" fontId="23" fillId="0" borderId="65" xfId="0" applyNumberFormat="1" applyFont="1" applyBorder="1" applyAlignment="1" applyProtection="1">
      <alignment horizontal="right"/>
      <protection locked="0"/>
    </xf>
    <xf numFmtId="0" fontId="23" fillId="0" borderId="65" xfId="0" applyFont="1" applyBorder="1" applyAlignment="1" applyProtection="1">
      <alignment horizontal="left" wrapText="1"/>
      <protection locked="0"/>
    </xf>
    <xf numFmtId="169" fontId="23" fillId="0" borderId="66" xfId="0" applyNumberFormat="1" applyFont="1" applyBorder="1" applyAlignment="1" applyProtection="1">
      <alignment horizontal="right"/>
      <protection locked="0"/>
    </xf>
    <xf numFmtId="171" fontId="32" fillId="0" borderId="0" xfId="0" applyNumberFormat="1" applyFont="1" applyAlignment="1" applyProtection="1">
      <alignment horizontal="right"/>
      <protection locked="0"/>
    </xf>
    <xf numFmtId="172" fontId="32" fillId="0" borderId="0" xfId="0" applyNumberFormat="1" applyFont="1" applyAlignment="1" applyProtection="1">
      <alignment horizontal="right"/>
      <protection locked="0"/>
    </xf>
    <xf numFmtId="170" fontId="32" fillId="0" borderId="0" xfId="0" applyNumberFormat="1" applyFont="1" applyAlignment="1" applyProtection="1">
      <alignment horizontal="right"/>
      <protection locked="0"/>
    </xf>
    <xf numFmtId="0" fontId="32" fillId="0" borderId="0" xfId="0" applyFont="1" applyAlignment="1" applyProtection="1">
      <alignment horizontal="left" wrapText="1"/>
      <protection locked="0"/>
    </xf>
    <xf numFmtId="169" fontId="32" fillId="0" borderId="0" xfId="0" applyNumberFormat="1" applyFont="1" applyAlignment="1" applyProtection="1">
      <alignment horizontal="right"/>
      <protection locked="0"/>
    </xf>
    <xf numFmtId="0" fontId="33" fillId="3" borderId="0" xfId="0" applyFont="1" applyFill="1" applyAlignment="1" applyProtection="1">
      <alignment horizontal="left"/>
      <protection/>
    </xf>
    <xf numFmtId="0" fontId="34" fillId="8" borderId="67" xfId="0" applyFont="1" applyFill="1" applyBorder="1" applyAlignment="1" applyProtection="1">
      <alignment horizontal="center" vertical="center" wrapText="1"/>
      <protection/>
    </xf>
    <xf numFmtId="0" fontId="23" fillId="3" borderId="0" xfId="0" applyFont="1" applyFill="1" applyAlignment="1" applyProtection="1">
      <alignment horizontal="left"/>
      <protection/>
    </xf>
    <xf numFmtId="0" fontId="32" fillId="3" borderId="0" xfId="0" applyFont="1" applyFill="1" applyAlignment="1" applyProtection="1">
      <alignment horizontal="left"/>
      <protection/>
    </xf>
    <xf numFmtId="0" fontId="35" fillId="3" borderId="0" xfId="0" applyFont="1" applyFill="1" applyAlignment="1" applyProtection="1">
      <alignment horizontal="left"/>
      <protection/>
    </xf>
    <xf numFmtId="0" fontId="4" fillId="0" borderId="4" xfId="23" applyFont="1" applyFill="1" applyBorder="1" applyAlignment="1">
      <alignment horizontal="center" wrapText="1"/>
      <protection/>
    </xf>
    <xf numFmtId="0" fontId="4" fillId="0" borderId="0" xfId="23" applyFont="1" applyFill="1" applyBorder="1" applyAlignment="1">
      <alignment horizontal="center" wrapText="1"/>
      <protection/>
    </xf>
    <xf numFmtId="0" fontId="1" fillId="0" borderId="4" xfId="23" applyFont="1" applyFill="1" applyBorder="1">
      <alignment/>
      <protection/>
    </xf>
    <xf numFmtId="0" fontId="1" fillId="0" borderId="0" xfId="23" applyFont="1" applyFill="1" applyBorder="1">
      <alignment/>
      <protection/>
    </xf>
    <xf numFmtId="168" fontId="9" fillId="0" borderId="4" xfId="23" applyNumberFormat="1" applyFont="1" applyFill="1" applyBorder="1">
      <alignment/>
      <protection/>
    </xf>
    <xf numFmtId="4" fontId="9" fillId="0" borderId="0" xfId="23" applyNumberFormat="1" applyFont="1" applyFill="1" applyBorder="1">
      <alignment/>
      <protection/>
    </xf>
    <xf numFmtId="4" fontId="1" fillId="0" borderId="0" xfId="23" applyNumberFormat="1" applyFont="1" applyFill="1" applyBorder="1">
      <alignment/>
      <protection/>
    </xf>
    <xf numFmtId="49" fontId="4" fillId="0" borderId="27" xfId="23" applyNumberFormat="1" applyFont="1" applyBorder="1" applyAlignment="1">
      <alignment horizontal="left"/>
      <protection/>
    </xf>
    <xf numFmtId="0" fontId="1" fillId="0" borderId="0" xfId="23" applyFont="1" applyFill="1">
      <alignment/>
      <protection/>
    </xf>
    <xf numFmtId="0" fontId="17" fillId="0" borderId="0" xfId="23" applyFont="1" applyBorder="1" applyAlignment="1">
      <alignment wrapText="1"/>
      <protection/>
    </xf>
    <xf numFmtId="4" fontId="8" fillId="0" borderId="0" xfId="23" applyNumberFormat="1" applyFont="1" applyFill="1" applyBorder="1">
      <alignment/>
      <protection/>
    </xf>
    <xf numFmtId="4" fontId="18" fillId="4" borderId="54" xfId="23" applyNumberFormat="1" applyFont="1" applyFill="1" applyBorder="1" applyAlignment="1">
      <alignment horizontal="right" wrapText="1"/>
      <protection/>
    </xf>
    <xf numFmtId="4" fontId="9" fillId="0" borderId="35" xfId="23" applyNumberFormat="1" applyFont="1" applyBorder="1">
      <alignment/>
      <protection/>
    </xf>
    <xf numFmtId="168" fontId="9" fillId="0" borderId="0" xfId="23" applyNumberFormat="1" applyFont="1" applyFill="1" applyBorder="1">
      <alignment/>
      <protection/>
    </xf>
    <xf numFmtId="4" fontId="1" fillId="0" borderId="0" xfId="23" applyNumberFormat="1" applyFont="1" applyBorder="1">
      <alignment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167" fontId="25" fillId="0" borderId="0" xfId="0" applyNumberFormat="1" applyFont="1" applyBorder="1" applyAlignment="1">
      <alignment horizontal="right"/>
    </xf>
    <xf numFmtId="167" fontId="25" fillId="0" borderId="0" xfId="0" applyNumberFormat="1" applyFont="1" applyBorder="1"/>
    <xf numFmtId="167" fontId="25" fillId="0" borderId="0" xfId="0" applyNumberFormat="1" applyFont="1" applyBorder="1" applyAlignment="1">
      <alignment horizontal="centerContinuous"/>
    </xf>
    <xf numFmtId="0" fontId="3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22" fillId="0" borderId="0" xfId="0" applyFont="1" applyAlignment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Font="1"/>
    <xf numFmtId="167" fontId="25" fillId="0" borderId="0" xfId="0" applyNumberFormat="1" applyFont="1" applyAlignment="1">
      <alignment horizontal="right"/>
    </xf>
    <xf numFmtId="167" fontId="25" fillId="0" borderId="0" xfId="0" applyNumberFormat="1" applyFont="1"/>
    <xf numFmtId="0" fontId="24" fillId="0" borderId="0" xfId="0" applyFont="1" applyAlignment="1">
      <alignment wrapText="1"/>
    </xf>
    <xf numFmtId="0" fontId="25" fillId="0" borderId="10" xfId="0" applyFont="1" applyBorder="1"/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167" fontId="25" fillId="0" borderId="10" xfId="0" applyNumberFormat="1" applyFont="1" applyBorder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5" fillId="0" borderId="0" xfId="0" applyFont="1" applyAlignment="1">
      <alignment horizontal="right" wrapText="1"/>
    </xf>
    <xf numFmtId="167" fontId="22" fillId="0" borderId="0" xfId="0" applyNumberFormat="1" applyFont="1" applyBorder="1"/>
    <xf numFmtId="0" fontId="37" fillId="0" borderId="0" xfId="0" applyFont="1"/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/>
    <xf numFmtId="4" fontId="39" fillId="0" borderId="0" xfId="0" applyNumberFormat="1" applyFont="1"/>
    <xf numFmtId="0" fontId="41" fillId="0" borderId="0" xfId="0" applyFont="1"/>
    <xf numFmtId="0" fontId="42" fillId="0" borderId="0" xfId="0" applyFont="1"/>
    <xf numFmtId="14" fontId="43" fillId="0" borderId="0" xfId="0" applyNumberFormat="1" applyFont="1"/>
    <xf numFmtId="14" fontId="39" fillId="0" borderId="0" xfId="0" applyNumberFormat="1" applyFont="1" applyAlignment="1">
      <alignment horizontal="right"/>
    </xf>
    <xf numFmtId="166" fontId="39" fillId="0" borderId="0" xfId="0" applyNumberFormat="1" applyFont="1" applyAlignment="1">
      <alignment horizontal="right"/>
    </xf>
    <xf numFmtId="0" fontId="39" fillId="0" borderId="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3" fontId="39" fillId="0" borderId="3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center"/>
    </xf>
    <xf numFmtId="4" fontId="39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3" fontId="44" fillId="0" borderId="0" xfId="0" applyNumberFormat="1" applyFont="1" applyAlignment="1">
      <alignment vertical="top" wrapText="1"/>
    </xf>
    <xf numFmtId="0" fontId="44" fillId="0" borderId="0" xfId="0" applyNumberFormat="1" applyFont="1" applyAlignment="1">
      <alignment horizontal="left" vertical="top" wrapText="1"/>
    </xf>
    <xf numFmtId="0" fontId="39" fillId="0" borderId="0" xfId="0" applyFont="1" applyBorder="1"/>
    <xf numFmtId="4" fontId="44" fillId="0" borderId="0" xfId="0" applyNumberFormat="1" applyFont="1" applyAlignment="1">
      <alignment vertical="top" wrapText="1"/>
    </xf>
    <xf numFmtId="4" fontId="44" fillId="0" borderId="0" xfId="0" applyNumberFormat="1" applyFont="1" applyAlignment="1">
      <alignment vertical="top"/>
    </xf>
    <xf numFmtId="0" fontId="39" fillId="0" borderId="10" xfId="0" applyFont="1" applyBorder="1"/>
    <xf numFmtId="0" fontId="39" fillId="0" borderId="0" xfId="0" applyNumberFormat="1" applyFont="1" applyBorder="1" applyAlignment="1">
      <alignment horizontal="left"/>
    </xf>
    <xf numFmtId="4" fontId="39" fillId="0" borderId="0" xfId="0" applyNumberFormat="1" applyFont="1" applyBorder="1" applyAlignment="1">
      <alignment wrapText="1"/>
    </xf>
    <xf numFmtId="0" fontId="39" fillId="0" borderId="0" xfId="0" applyNumberFormat="1" applyFont="1" applyAlignment="1">
      <alignment horizontal="left"/>
    </xf>
    <xf numFmtId="4" fontId="39" fillId="0" borderId="0" xfId="0" applyNumberFormat="1" applyFont="1" applyAlignment="1">
      <alignment wrapText="1"/>
    </xf>
    <xf numFmtId="3" fontId="39" fillId="0" borderId="0" xfId="0" applyNumberFormat="1" applyFont="1"/>
    <xf numFmtId="3" fontId="41" fillId="0" borderId="0" xfId="0" applyNumberFormat="1" applyFont="1"/>
    <xf numFmtId="0" fontId="39" fillId="0" borderId="0" xfId="0" applyFont="1" applyFill="1" applyBorder="1"/>
    <xf numFmtId="3" fontId="39" fillId="0" borderId="0" xfId="0" applyNumberFormat="1" applyFont="1" applyBorder="1"/>
    <xf numFmtId="3" fontId="41" fillId="0" borderId="0" xfId="0" applyNumberFormat="1" applyFont="1" applyBorder="1"/>
    <xf numFmtId="0" fontId="40" fillId="0" borderId="0" xfId="0" applyFont="1" applyAlignment="1" applyProtection="1">
      <alignment horizontal="left" vertical="center"/>
      <protection locked="0"/>
    </xf>
    <xf numFmtId="0" fontId="46" fillId="0" borderId="4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40" fillId="0" borderId="0" xfId="0" applyFont="1" applyAlignment="1" applyProtection="1">
      <alignment horizontal="right"/>
      <protection locked="0"/>
    </xf>
    <xf numFmtId="0" fontId="0" fillId="2" borderId="68" xfId="0" applyFont="1" applyFill="1" applyBorder="1" applyAlignment="1" applyProtection="1">
      <alignment horizontal="right" vertical="center"/>
      <protection locked="0"/>
    </xf>
    <xf numFmtId="0" fontId="40" fillId="2" borderId="21" xfId="0" applyFont="1" applyFill="1" applyBorder="1" applyAlignment="1" applyProtection="1">
      <alignment horizontal="centerContinuous" vertical="center"/>
      <protection/>
    </xf>
    <xf numFmtId="0" fontId="40" fillId="2" borderId="24" xfId="0" applyFont="1" applyFill="1" applyBorder="1" applyAlignment="1" applyProtection="1">
      <alignment horizontal="centerContinuous" vertical="center"/>
      <protection/>
    </xf>
    <xf numFmtId="0" fontId="40" fillId="2" borderId="20" xfId="0" applyFont="1" applyFill="1" applyBorder="1" applyAlignment="1" applyProtection="1">
      <alignment horizontal="centerContinuous" vertical="center"/>
      <protection/>
    </xf>
    <xf numFmtId="49" fontId="0" fillId="0" borderId="29" xfId="0" applyNumberFormat="1" applyFont="1" applyBorder="1" applyAlignment="1" applyProtection="1">
      <alignment horizontal="righ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27" xfId="0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 applyProtection="1">
      <alignment horizontal="right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0" fontId="46" fillId="0" borderId="27" xfId="0" applyFont="1" applyBorder="1" applyAlignment="1" applyProtection="1">
      <alignment horizontal="left" vertical="center"/>
      <protection locked="0"/>
    </xf>
    <xf numFmtId="0" fontId="47" fillId="0" borderId="27" xfId="0" applyFont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4" fontId="24" fillId="0" borderId="27" xfId="0" applyNumberFormat="1" applyFont="1" applyBorder="1" applyAlignment="1" applyProtection="1">
      <alignment horizontal="right" vertical="center"/>
      <protection locked="0"/>
    </xf>
    <xf numFmtId="0" fontId="48" fillId="0" borderId="27" xfId="0" applyFont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right" vertical="center"/>
      <protection locked="0"/>
    </xf>
    <xf numFmtId="49" fontId="0" fillId="0" borderId="69" xfId="0" applyNumberFormat="1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right" vertical="center"/>
      <protection locked="0"/>
    </xf>
    <xf numFmtId="0" fontId="0" fillId="0" borderId="71" xfId="0" applyFont="1" applyBorder="1" applyAlignment="1" applyProtection="1">
      <alignment horizontal="right" vertical="center"/>
      <protection locked="0"/>
    </xf>
    <xf numFmtId="170" fontId="0" fillId="0" borderId="0" xfId="0" applyNumberFormat="1" applyAlignment="1" applyProtection="1">
      <alignment horizontal="left" vertical="top"/>
      <protection locked="0"/>
    </xf>
    <xf numFmtId="3" fontId="5" fillId="5" borderId="27" xfId="0" applyNumberFormat="1" applyFont="1" applyFill="1" applyBorder="1" applyAlignment="1">
      <alignment horizontal="right"/>
    </xf>
    <xf numFmtId="20" fontId="17" fillId="0" borderId="0" xfId="22" applyNumberFormat="1" applyFont="1" applyAlignment="1">
      <alignment wrapText="1"/>
      <protection/>
    </xf>
    <xf numFmtId="3" fontId="17" fillId="0" borderId="0" xfId="22" applyNumberFormat="1" applyFont="1" applyAlignment="1">
      <alignment wrapText="1"/>
      <protection/>
    </xf>
    <xf numFmtId="3" fontId="4" fillId="7" borderId="5" xfId="0" applyNumberFormat="1" applyFont="1" applyFill="1" applyBorder="1" applyAlignment="1">
      <alignment horizontal="right"/>
    </xf>
    <xf numFmtId="0" fontId="39" fillId="0" borderId="0" xfId="24" applyFont="1" applyAlignment="1">
      <alignment horizontal="left"/>
      <protection/>
    </xf>
    <xf numFmtId="0" fontId="40" fillId="0" borderId="0" xfId="24" applyFont="1" applyAlignment="1">
      <alignment horizontal="left"/>
      <protection/>
    </xf>
    <xf numFmtId="0" fontId="39" fillId="0" borderId="0" xfId="24" applyFont="1">
      <alignment/>
      <protection/>
    </xf>
    <xf numFmtId="4" fontId="39" fillId="0" borderId="0" xfId="24" applyNumberFormat="1" applyFont="1">
      <alignment/>
      <protection/>
    </xf>
    <xf numFmtId="0" fontId="41" fillId="0" borderId="0" xfId="24" applyFont="1">
      <alignment/>
      <protection/>
    </xf>
    <xf numFmtId="0" fontId="42" fillId="0" borderId="0" xfId="24" applyFont="1">
      <alignment/>
      <protection/>
    </xf>
    <xf numFmtId="14" fontId="43" fillId="0" borderId="0" xfId="24" applyNumberFormat="1" applyFont="1">
      <alignment/>
      <protection/>
    </xf>
    <xf numFmtId="14" fontId="39" fillId="0" borderId="0" xfId="24" applyNumberFormat="1" applyFont="1" applyAlignment="1">
      <alignment horizontal="right"/>
      <protection/>
    </xf>
    <xf numFmtId="166" fontId="39" fillId="0" borderId="0" xfId="24" applyNumberFormat="1" applyFont="1" applyAlignment="1">
      <alignment horizontal="right"/>
      <protection/>
    </xf>
    <xf numFmtId="0" fontId="39" fillId="0" borderId="1" xfId="24" applyFont="1" applyBorder="1" applyAlignment="1">
      <alignment horizontal="center"/>
      <protection/>
    </xf>
    <xf numFmtId="0" fontId="39" fillId="0" borderId="12" xfId="24" applyFont="1" applyBorder="1" applyAlignment="1">
      <alignment horizontal="center"/>
      <protection/>
    </xf>
    <xf numFmtId="4" fontId="39" fillId="0" borderId="12" xfId="24" applyNumberFormat="1" applyFont="1" applyBorder="1" applyAlignment="1">
      <alignment horizontal="center"/>
      <protection/>
    </xf>
    <xf numFmtId="3" fontId="39" fillId="0" borderId="3" xfId="24" applyNumberFormat="1" applyFont="1" applyBorder="1" applyAlignment="1">
      <alignment horizontal="center"/>
      <protection/>
    </xf>
    <xf numFmtId="4" fontId="39" fillId="0" borderId="4" xfId="24" applyNumberFormat="1" applyFont="1" applyBorder="1" applyAlignment="1">
      <alignment horizontal="center"/>
      <protection/>
    </xf>
    <xf numFmtId="0" fontId="39" fillId="0" borderId="0" xfId="24" applyFont="1" applyBorder="1" applyAlignment="1">
      <alignment horizontal="left"/>
      <protection/>
    </xf>
    <xf numFmtId="0" fontId="39" fillId="0" borderId="0" xfId="24" applyFont="1" applyBorder="1" applyAlignment="1">
      <alignment horizontal="left" wrapText="1"/>
      <protection/>
    </xf>
    <xf numFmtId="0" fontId="39" fillId="0" borderId="0" xfId="24" applyFont="1" applyBorder="1" applyAlignment="1">
      <alignment horizontal="center"/>
      <protection/>
    </xf>
    <xf numFmtId="4" fontId="39" fillId="0" borderId="0" xfId="24" applyNumberFormat="1" applyFont="1" applyBorder="1" applyAlignment="1">
      <alignment horizontal="center"/>
      <protection/>
    </xf>
    <xf numFmtId="3" fontId="39" fillId="0" borderId="0" xfId="24" applyNumberFormat="1" applyFont="1" applyBorder="1" applyAlignment="1">
      <alignment horizontal="center"/>
      <protection/>
    </xf>
    <xf numFmtId="0" fontId="44" fillId="0" borderId="0" xfId="24" applyFont="1" applyAlignment="1">
      <alignment horizontal="left" vertical="top" wrapText="1"/>
      <protection/>
    </xf>
    <xf numFmtId="0" fontId="39" fillId="0" borderId="0" xfId="24" applyFont="1" applyBorder="1">
      <alignment/>
      <protection/>
    </xf>
    <xf numFmtId="0" fontId="44" fillId="0" borderId="0" xfId="24" applyFont="1" applyAlignment="1">
      <alignment vertical="top" wrapText="1"/>
      <protection/>
    </xf>
    <xf numFmtId="4" fontId="44" fillId="0" borderId="0" xfId="24" applyNumberFormat="1" applyFont="1" applyAlignment="1">
      <alignment vertical="top" wrapText="1"/>
      <protection/>
    </xf>
    <xf numFmtId="3" fontId="44" fillId="0" borderId="0" xfId="24" applyNumberFormat="1" applyFont="1" applyAlignment="1">
      <alignment vertical="top" wrapText="1"/>
      <protection/>
    </xf>
    <xf numFmtId="0" fontId="39" fillId="0" borderId="0" xfId="24" applyFont="1" applyBorder="1" applyAlignment="1">
      <alignment wrapText="1"/>
      <protection/>
    </xf>
    <xf numFmtId="4" fontId="39" fillId="0" borderId="0" xfId="24" applyNumberFormat="1" applyFont="1" applyBorder="1" applyAlignment="1">
      <alignment wrapText="1"/>
      <protection/>
    </xf>
    <xf numFmtId="0" fontId="39" fillId="0" borderId="10" xfId="24" applyFont="1" applyBorder="1">
      <alignment/>
      <protection/>
    </xf>
    <xf numFmtId="3" fontId="39" fillId="0" borderId="0" xfId="24" applyNumberFormat="1" applyFont="1" applyBorder="1">
      <alignment/>
      <protection/>
    </xf>
    <xf numFmtId="3" fontId="41" fillId="0" borderId="0" xfId="24" applyNumberFormat="1" applyFont="1" applyBorder="1">
      <alignment/>
      <protection/>
    </xf>
    <xf numFmtId="0" fontId="41" fillId="0" borderId="0" xfId="24" applyFont="1" applyBorder="1" applyAlignment="1">
      <alignment horizontal="left"/>
      <protection/>
    </xf>
    <xf numFmtId="0" fontId="41" fillId="0" borderId="0" xfId="24" applyFont="1" applyBorder="1">
      <alignment/>
      <protection/>
    </xf>
    <xf numFmtId="4" fontId="41" fillId="0" borderId="0" xfId="24" applyNumberFormat="1" applyFont="1" applyBorder="1" applyAlignment="1">
      <alignment wrapText="1"/>
      <protection/>
    </xf>
    <xf numFmtId="3" fontId="41" fillId="0" borderId="0" xfId="24" applyNumberFormat="1" applyFont="1" applyBorder="1">
      <alignment/>
      <protection/>
    </xf>
    <xf numFmtId="3" fontId="39" fillId="0" borderId="0" xfId="24" applyNumberFormat="1" applyFont="1" applyBorder="1" applyAlignment="1">
      <alignment horizontal="left"/>
      <protection/>
    </xf>
    <xf numFmtId="3" fontId="41" fillId="0" borderId="0" xfId="24" applyNumberFormat="1" applyFont="1" applyBorder="1" applyAlignment="1">
      <alignment horizontal="left"/>
      <protection/>
    </xf>
    <xf numFmtId="4" fontId="39" fillId="0" borderId="0" xfId="24" applyNumberFormat="1" applyFont="1" applyAlignment="1">
      <alignment wrapText="1"/>
      <protection/>
    </xf>
    <xf numFmtId="3" fontId="39" fillId="0" borderId="0" xfId="24" applyNumberFormat="1" applyFont="1">
      <alignment/>
      <protection/>
    </xf>
    <xf numFmtId="3" fontId="39" fillId="0" borderId="0" xfId="24" applyNumberFormat="1" applyFont="1" applyAlignment="1">
      <alignment horizontal="left"/>
      <protection/>
    </xf>
    <xf numFmtId="0" fontId="41" fillId="0" borderId="0" xfId="24" applyFont="1" applyAlignment="1">
      <alignment horizontal="left"/>
      <protection/>
    </xf>
    <xf numFmtId="4" fontId="41" fillId="0" borderId="0" xfId="24" applyNumberFormat="1" applyFont="1" applyAlignment="1">
      <alignment wrapText="1"/>
      <protection/>
    </xf>
    <xf numFmtId="3" fontId="41" fillId="0" borderId="0" xfId="24" applyNumberFormat="1" applyFont="1">
      <alignment/>
      <protection/>
    </xf>
    <xf numFmtId="4" fontId="41" fillId="0" borderId="0" xfId="24" applyNumberFormat="1" applyFont="1">
      <alignment/>
      <protection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right"/>
      <protection locked="0"/>
    </xf>
    <xf numFmtId="0" fontId="40" fillId="2" borderId="21" xfId="0" applyFont="1" applyFill="1" applyBorder="1" applyAlignment="1" applyProtection="1">
      <alignment horizontal="centerContinuous" vertical="center"/>
      <protection/>
    </xf>
    <xf numFmtId="0" fontId="40" fillId="2" borderId="24" xfId="0" applyFont="1" applyFill="1" applyBorder="1" applyAlignment="1" applyProtection="1">
      <alignment horizontal="centerContinuous" vertical="center"/>
      <protection/>
    </xf>
    <xf numFmtId="0" fontId="40" fillId="2" borderId="20" xfId="0" applyFont="1" applyFill="1" applyBorder="1" applyAlignment="1" applyProtection="1">
      <alignment horizontal="centerContinuous" vertical="center"/>
      <protection/>
    </xf>
    <xf numFmtId="0" fontId="0" fillId="0" borderId="0" xfId="0" applyProtection="1">
      <protection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5" fillId="0" borderId="0" xfId="24" applyFont="1" applyAlignment="1">
      <alignment vertical="top" wrapText="1"/>
      <protection/>
    </xf>
    <xf numFmtId="4" fontId="44" fillId="0" borderId="0" xfId="24" applyNumberFormat="1" applyFont="1" applyAlignment="1">
      <alignment vertical="top"/>
      <protection/>
    </xf>
    <xf numFmtId="3" fontId="41" fillId="0" borderId="0" xfId="24" applyNumberFormat="1" applyFont="1">
      <alignment/>
      <protection/>
    </xf>
    <xf numFmtId="3" fontId="5" fillId="7" borderId="27" xfId="0" applyNumberFormat="1" applyFont="1" applyFill="1" applyBorder="1" applyAlignment="1">
      <alignment horizontal="right"/>
    </xf>
    <xf numFmtId="0" fontId="39" fillId="0" borderId="0" xfId="20" applyFont="1" applyAlignment="1">
      <alignment horizontal="left"/>
      <protection/>
    </xf>
    <xf numFmtId="0" fontId="43" fillId="0" borderId="0" xfId="20" applyFont="1" applyAlignment="1">
      <alignment horizontal="left"/>
      <protection/>
    </xf>
    <xf numFmtId="0" fontId="39" fillId="0" borderId="0" xfId="20" applyFont="1">
      <alignment/>
      <protection/>
    </xf>
    <xf numFmtId="4" fontId="39" fillId="0" borderId="0" xfId="20" applyNumberFormat="1" applyFont="1">
      <alignment/>
      <protection/>
    </xf>
    <xf numFmtId="0" fontId="0" fillId="0" borderId="0" xfId="20">
      <alignment/>
      <protection/>
    </xf>
    <xf numFmtId="0" fontId="41" fillId="0" borderId="0" xfId="20" applyFont="1">
      <alignment/>
      <protection/>
    </xf>
    <xf numFmtId="14" fontId="41" fillId="0" borderId="0" xfId="20" applyNumberFormat="1" applyFont="1">
      <alignment/>
      <protection/>
    </xf>
    <xf numFmtId="166" fontId="39" fillId="0" borderId="0" xfId="20" applyNumberFormat="1" applyFont="1" applyAlignment="1">
      <alignment horizontal="left"/>
      <protection/>
    </xf>
    <xf numFmtId="166" fontId="39" fillId="0" borderId="0" xfId="20" applyNumberFormat="1" applyFont="1" applyAlignment="1">
      <alignment horizontal="right"/>
      <protection/>
    </xf>
    <xf numFmtId="0" fontId="39" fillId="0" borderId="1" xfId="20" applyFont="1" applyBorder="1" applyAlignment="1">
      <alignment horizontal="center"/>
      <protection/>
    </xf>
    <xf numFmtId="0" fontId="39" fillId="0" borderId="12" xfId="20" applyFont="1" applyBorder="1" applyAlignment="1">
      <alignment horizontal="center"/>
      <protection/>
    </xf>
    <xf numFmtId="3" fontId="39" fillId="0" borderId="12" xfId="20" applyNumberFormat="1" applyFont="1" applyBorder="1" applyAlignment="1">
      <alignment horizontal="center"/>
      <protection/>
    </xf>
    <xf numFmtId="0" fontId="2" fillId="0" borderId="12" xfId="25" applyBorder="1" applyAlignment="1">
      <alignment horizontal="center"/>
      <protection/>
    </xf>
    <xf numFmtId="0" fontId="39" fillId="0" borderId="0" xfId="20" applyFont="1" applyBorder="1" applyAlignment="1">
      <alignment horizontal="left"/>
      <protection/>
    </xf>
    <xf numFmtId="0" fontId="39" fillId="0" borderId="0" xfId="20" applyFont="1" applyBorder="1" applyAlignment="1">
      <alignment horizontal="left" wrapText="1"/>
      <protection/>
    </xf>
    <xf numFmtId="0" fontId="39" fillId="0" borderId="0" xfId="20" applyFont="1" applyBorder="1" applyAlignment="1">
      <alignment horizontal="center"/>
      <protection/>
    </xf>
    <xf numFmtId="4" fontId="39" fillId="0" borderId="12" xfId="20" applyNumberFormat="1" applyFont="1" applyBorder="1" applyAlignment="1">
      <alignment horizontal="center" textRotation="90"/>
      <protection/>
    </xf>
    <xf numFmtId="4" fontId="39" fillId="0" borderId="12" xfId="20" applyNumberFormat="1" applyFont="1" applyBorder="1" applyAlignment="1">
      <alignment horizontal="center" textRotation="90" wrapText="1"/>
      <protection/>
    </xf>
    <xf numFmtId="0" fontId="44" fillId="0" borderId="0" xfId="20" applyFont="1" applyAlignment="1">
      <alignment horizontal="left" vertical="top" wrapText="1"/>
      <protection/>
    </xf>
    <xf numFmtId="0" fontId="45" fillId="0" borderId="0" xfId="20" applyFont="1" applyAlignment="1">
      <alignment vertical="top" wrapText="1"/>
      <protection/>
    </xf>
    <xf numFmtId="0" fontId="44" fillId="0" borderId="0" xfId="20" applyFont="1" applyAlignment="1">
      <alignment vertical="top" wrapText="1"/>
      <protection/>
    </xf>
    <xf numFmtId="3" fontId="44" fillId="0" borderId="0" xfId="20" applyNumberFormat="1" applyFont="1" applyAlignment="1">
      <alignment vertical="top" wrapText="1"/>
      <protection/>
    </xf>
    <xf numFmtId="0" fontId="23" fillId="0" borderId="56" xfId="26" applyFont="1" applyBorder="1" applyAlignment="1" applyProtection="1">
      <alignment horizontal="left" wrapText="1"/>
      <protection locked="0"/>
    </xf>
    <xf numFmtId="171" fontId="23" fillId="0" borderId="56" xfId="26" applyNumberFormat="1" applyFont="1" applyBorder="1" applyAlignment="1" applyProtection="1">
      <alignment horizontal="right"/>
      <protection locked="0"/>
    </xf>
    <xf numFmtId="171" fontId="31" fillId="0" borderId="59" xfId="27" applyNumberFormat="1" applyFont="1" applyBorder="1" applyAlignment="1" applyProtection="1">
      <alignment horizontal="right"/>
      <protection locked="0"/>
    </xf>
    <xf numFmtId="170" fontId="23" fillId="0" borderId="56" xfId="26" applyNumberFormat="1" applyFont="1" applyBorder="1" applyAlignment="1" applyProtection="1">
      <alignment horizontal="right"/>
      <protection locked="0"/>
    </xf>
    <xf numFmtId="170" fontId="31" fillId="0" borderId="65" xfId="27" applyNumberFormat="1" applyFont="1" applyBorder="1" applyAlignment="1" applyProtection="1">
      <alignment horizontal="right"/>
      <protection locked="0"/>
    </xf>
    <xf numFmtId="0" fontId="31" fillId="0" borderId="56" xfId="26" applyFont="1" applyBorder="1" applyAlignment="1" applyProtection="1">
      <alignment horizontal="left" wrapText="1"/>
      <protection locked="0"/>
    </xf>
    <xf numFmtId="171" fontId="31" fillId="0" borderId="56" xfId="26" applyNumberFormat="1" applyFont="1" applyBorder="1" applyAlignment="1" applyProtection="1">
      <alignment horizontal="right"/>
      <protection locked="0"/>
    </xf>
    <xf numFmtId="170" fontId="31" fillId="0" borderId="56" xfId="26" applyNumberFormat="1" applyFont="1" applyBorder="1" applyAlignment="1" applyProtection="1">
      <alignment horizontal="right"/>
      <protection locked="0"/>
    </xf>
    <xf numFmtId="170" fontId="27" fillId="0" borderId="65" xfId="27" applyNumberFormat="1" applyFont="1" applyBorder="1" applyAlignment="1" applyProtection="1">
      <alignment horizontal="right"/>
      <protection locked="0"/>
    </xf>
    <xf numFmtId="0" fontId="31" fillId="0" borderId="62" xfId="26" applyFont="1" applyBorder="1" applyAlignment="1" applyProtection="1">
      <alignment horizontal="left" wrapText="1"/>
      <protection locked="0"/>
    </xf>
    <xf numFmtId="171" fontId="31" fillId="0" borderId="62" xfId="26" applyNumberFormat="1" applyFont="1" applyBorder="1" applyAlignment="1" applyProtection="1">
      <alignment horizontal="right"/>
      <protection locked="0"/>
    </xf>
    <xf numFmtId="170" fontId="31" fillId="0" borderId="62" xfId="26" applyNumberFormat="1" applyFont="1" applyBorder="1" applyAlignment="1" applyProtection="1">
      <alignment horizontal="right"/>
      <protection locked="0"/>
    </xf>
    <xf numFmtId="0" fontId="31" fillId="0" borderId="65" xfId="26" applyFont="1" applyBorder="1" applyAlignment="1" applyProtection="1">
      <alignment horizontal="left" wrapText="1"/>
      <protection locked="0"/>
    </xf>
    <xf numFmtId="171" fontId="31" fillId="0" borderId="65" xfId="26" applyNumberFormat="1" applyFont="1" applyBorder="1" applyAlignment="1" applyProtection="1">
      <alignment horizontal="right"/>
      <protection locked="0"/>
    </xf>
    <xf numFmtId="170" fontId="31" fillId="0" borderId="65" xfId="26" applyNumberFormat="1" applyFont="1" applyBorder="1" applyAlignment="1" applyProtection="1">
      <alignment horizontal="right"/>
      <protection locked="0"/>
    </xf>
    <xf numFmtId="0" fontId="31" fillId="0" borderId="59" xfId="26" applyFont="1" applyBorder="1" applyAlignment="1" applyProtection="1">
      <alignment horizontal="left" wrapText="1"/>
      <protection locked="0"/>
    </xf>
    <xf numFmtId="171" fontId="31" fillId="0" borderId="59" xfId="26" applyNumberFormat="1" applyFont="1" applyBorder="1" applyAlignment="1" applyProtection="1">
      <alignment horizontal="right"/>
      <protection locked="0"/>
    </xf>
    <xf numFmtId="170" fontId="31" fillId="0" borderId="59" xfId="26" applyNumberFormat="1" applyFont="1" applyBorder="1" applyAlignment="1" applyProtection="1">
      <alignment horizontal="right"/>
      <protection locked="0"/>
    </xf>
    <xf numFmtId="0" fontId="39" fillId="0" borderId="0" xfId="20" applyFont="1" applyBorder="1">
      <alignment/>
      <protection/>
    </xf>
    <xf numFmtId="4" fontId="39" fillId="0" borderId="0" xfId="20" applyNumberFormat="1" applyFont="1" applyBorder="1" applyAlignment="1">
      <alignment wrapText="1"/>
      <protection/>
    </xf>
    <xf numFmtId="167" fontId="41" fillId="0" borderId="0" xfId="20" applyNumberFormat="1" applyFont="1" applyBorder="1">
      <alignment/>
      <protection/>
    </xf>
    <xf numFmtId="167" fontId="39" fillId="0" borderId="0" xfId="20" applyNumberFormat="1" applyFont="1" applyBorder="1" applyAlignment="1">
      <alignment wrapText="1"/>
      <protection/>
    </xf>
    <xf numFmtId="167" fontId="0" fillId="0" borderId="0" xfId="20" applyNumberFormat="1">
      <alignment/>
      <protection/>
    </xf>
    <xf numFmtId="167" fontId="24" fillId="0" borderId="0" xfId="20" applyNumberFormat="1" applyFont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25" fillId="0" borderId="12" xfId="0" applyFont="1" applyBorder="1"/>
    <xf numFmtId="0" fontId="25" fillId="0" borderId="12" xfId="0" applyFont="1" applyBorder="1" applyAlignment="1">
      <alignment wrapText="1"/>
    </xf>
    <xf numFmtId="0" fontId="25" fillId="0" borderId="12" xfId="0" applyFont="1" applyBorder="1" applyAlignment="1">
      <alignment horizontal="right"/>
    </xf>
    <xf numFmtId="3" fontId="39" fillId="0" borderId="12" xfId="20" applyNumberFormat="1" applyFont="1" applyBorder="1" applyAlignment="1">
      <alignment horizontal="center"/>
      <protection/>
    </xf>
    <xf numFmtId="4" fontId="39" fillId="0" borderId="0" xfId="20" applyNumberFormat="1" applyFont="1" applyBorder="1" applyAlignment="1">
      <alignment horizontal="center" textRotation="90"/>
      <protection/>
    </xf>
    <xf numFmtId="4" fontId="39" fillId="0" borderId="0" xfId="20" applyNumberFormat="1" applyFont="1" applyBorder="1" applyAlignment="1">
      <alignment horizontal="center" textRotation="90" wrapText="1"/>
      <protection/>
    </xf>
    <xf numFmtId="0" fontId="25" fillId="0" borderId="51" xfId="0" applyFont="1" applyBorder="1"/>
    <xf numFmtId="0" fontId="25" fillId="0" borderId="51" xfId="0" applyFont="1" applyBorder="1" applyAlignment="1">
      <alignment wrapText="1"/>
    </xf>
    <xf numFmtId="0" fontId="25" fillId="0" borderId="51" xfId="0" applyFont="1" applyBorder="1" applyAlignment="1">
      <alignment horizontal="right"/>
    </xf>
    <xf numFmtId="167" fontId="25" fillId="0" borderId="51" xfId="0" applyNumberFormat="1" applyFont="1" applyBorder="1" applyAlignment="1">
      <alignment horizontal="right"/>
    </xf>
    <xf numFmtId="0" fontId="0" fillId="0" borderId="51" xfId="0" applyFont="1" applyBorder="1"/>
    <xf numFmtId="0" fontId="0" fillId="0" borderId="0" xfId="20" applyFont="1" applyAlignment="1">
      <alignment wrapText="1"/>
      <protection/>
    </xf>
    <xf numFmtId="0" fontId="0" fillId="0" borderId="0" xfId="20" applyFont="1" applyAlignment="1">
      <alignment horizontal="right"/>
      <protection/>
    </xf>
    <xf numFmtId="0" fontId="0" fillId="0" borderId="0" xfId="20" applyFont="1">
      <alignment/>
      <protection/>
    </xf>
    <xf numFmtId="167" fontId="0" fillId="0" borderId="0" xfId="20" applyNumberFormat="1" applyFont="1">
      <alignment/>
      <protection/>
    </xf>
    <xf numFmtId="0" fontId="0" fillId="0" borderId="0" xfId="20" applyFont="1" applyFill="1" applyAlignment="1">
      <alignment wrapText="1"/>
      <protection/>
    </xf>
    <xf numFmtId="167" fontId="0" fillId="0" borderId="0" xfId="0" applyNumberFormat="1" applyFont="1"/>
    <xf numFmtId="0" fontId="1" fillId="0" borderId="0" xfId="28" applyFont="1" applyBorder="1" applyAlignment="1">
      <alignment vertical="center"/>
      <protection/>
    </xf>
    <xf numFmtId="0" fontId="1" fillId="0" borderId="0" xfId="28" applyFont="1" applyBorder="1">
      <alignment/>
      <protection/>
    </xf>
    <xf numFmtId="0" fontId="51" fillId="0" borderId="0" xfId="28" applyFont="1" applyFill="1">
      <alignment/>
      <protection/>
    </xf>
    <xf numFmtId="0" fontId="0" fillId="0" borderId="0" xfId="28" applyFont="1" applyFill="1">
      <alignment/>
      <protection/>
    </xf>
    <xf numFmtId="0" fontId="1" fillId="9" borderId="0" xfId="28" applyFill="1">
      <alignment/>
      <protection/>
    </xf>
    <xf numFmtId="0" fontId="1" fillId="0" borderId="0" xfId="28">
      <alignment/>
      <protection/>
    </xf>
    <xf numFmtId="0" fontId="51" fillId="0" borderId="0" xfId="28" applyFont="1">
      <alignment/>
      <protection/>
    </xf>
    <xf numFmtId="0" fontId="53" fillId="0" borderId="0" xfId="28" applyFont="1">
      <alignment/>
      <protection/>
    </xf>
    <xf numFmtId="0" fontId="0" fillId="0" borderId="0" xfId="28" applyFont="1">
      <alignment/>
      <protection/>
    </xf>
    <xf numFmtId="0" fontId="52" fillId="9" borderId="0" xfId="28" applyFont="1" applyFill="1" applyAlignment="1">
      <alignment horizontal="center" vertical="top"/>
      <protection/>
    </xf>
    <xf numFmtId="0" fontId="1" fillId="0" borderId="0" xfId="28" applyFill="1">
      <alignment/>
      <protection/>
    </xf>
    <xf numFmtId="0" fontId="54" fillId="0" borderId="0" xfId="28" applyFont="1" applyBorder="1">
      <alignment/>
      <protection/>
    </xf>
    <xf numFmtId="0" fontId="4" fillId="0" borderId="0" xfId="28" applyFont="1" applyAlignment="1">
      <alignment horizontal="left"/>
      <protection/>
    </xf>
    <xf numFmtId="0" fontId="4" fillId="0" borderId="0" xfId="28" applyFont="1" applyAlignment="1">
      <alignment horizontal="center"/>
      <protection/>
    </xf>
    <xf numFmtId="0" fontId="1" fillId="0" borderId="0" xfId="28" applyFont="1">
      <alignment/>
      <protection/>
    </xf>
    <xf numFmtId="0" fontId="4" fillId="0" borderId="0" xfId="28" applyFont="1" applyFill="1" applyBorder="1" applyAlignment="1">
      <alignment/>
      <protection/>
    </xf>
    <xf numFmtId="0" fontId="4" fillId="0" borderId="0" xfId="28" applyFont="1" applyAlignment="1">
      <alignment/>
      <protection/>
    </xf>
    <xf numFmtId="4" fontId="4" fillId="0" borderId="0" xfId="28" applyNumberFormat="1" applyFont="1" applyBorder="1">
      <alignment/>
      <protection/>
    </xf>
    <xf numFmtId="0" fontId="4" fillId="0" borderId="0" xfId="28" applyFont="1" applyBorder="1">
      <alignment/>
      <protection/>
    </xf>
    <xf numFmtId="49" fontId="4" fillId="0" borderId="0" xfId="28" applyNumberFormat="1" applyFont="1" applyFill="1" applyBorder="1" applyAlignment="1">
      <alignment horizontal="left"/>
      <protection/>
    </xf>
    <xf numFmtId="4" fontId="1" fillId="0" borderId="0" xfId="28" applyNumberFormat="1" applyFont="1" applyBorder="1">
      <alignment/>
      <protection/>
    </xf>
    <xf numFmtId="0" fontId="55" fillId="0" borderId="0" xfId="28" applyFont="1" applyBorder="1" applyAlignment="1">
      <alignment wrapText="1"/>
      <protection/>
    </xf>
    <xf numFmtId="0" fontId="1" fillId="0" borderId="0" xfId="28" applyFont="1" applyAlignment="1">
      <alignment/>
      <protection/>
    </xf>
    <xf numFmtId="0" fontId="56" fillId="0" borderId="0" xfId="28" applyFont="1" applyBorder="1">
      <alignment/>
      <protection/>
    </xf>
    <xf numFmtId="0" fontId="57" fillId="0" borderId="0" xfId="28" applyFont="1" applyBorder="1">
      <alignment/>
      <protection/>
    </xf>
    <xf numFmtId="0" fontId="58" fillId="0" borderId="0" xfId="28" applyFont="1" applyFill="1" applyBorder="1">
      <alignment/>
      <protection/>
    </xf>
    <xf numFmtId="0" fontId="59" fillId="0" borderId="0" xfId="28" applyFont="1" applyFill="1" applyBorder="1">
      <alignment/>
      <protection/>
    </xf>
    <xf numFmtId="0" fontId="60" fillId="0" borderId="0" xfId="28" applyFont="1" applyFill="1" applyBorder="1" applyAlignment="1">
      <alignment horizontal="left" vertical="top"/>
      <protection/>
    </xf>
    <xf numFmtId="4" fontId="57" fillId="0" borderId="0" xfId="28" applyNumberFormat="1" applyFont="1" applyBorder="1" applyAlignment="1">
      <alignment horizontal="right" vertical="top"/>
      <protection/>
    </xf>
    <xf numFmtId="1" fontId="60" fillId="0" borderId="0" xfId="28" applyNumberFormat="1" applyFont="1" applyBorder="1" applyAlignment="1">
      <alignment/>
      <protection/>
    </xf>
    <xf numFmtId="1" fontId="61" fillId="0" borderId="0" xfId="28" applyNumberFormat="1" applyFont="1" applyBorder="1" applyAlignment="1">
      <alignment/>
      <protection/>
    </xf>
    <xf numFmtId="0" fontId="60" fillId="0" borderId="0" xfId="28" applyFont="1" applyFill="1">
      <alignment/>
      <protection/>
    </xf>
    <xf numFmtId="0" fontId="62" fillId="0" borderId="0" xfId="28" applyFont="1" applyFill="1">
      <alignment/>
      <protection/>
    </xf>
    <xf numFmtId="0" fontId="57" fillId="0" borderId="0" xfId="28" applyFont="1" applyFill="1">
      <alignment/>
      <protection/>
    </xf>
    <xf numFmtId="4" fontId="57" fillId="0" borderId="0" xfId="28" applyNumberFormat="1" applyFont="1" applyFill="1" applyAlignment="1">
      <alignment horizontal="right" vertical="top"/>
      <protection/>
    </xf>
    <xf numFmtId="1" fontId="61" fillId="0" borderId="0" xfId="28" applyNumberFormat="1" applyFont="1" applyAlignment="1">
      <alignment/>
      <protection/>
    </xf>
    <xf numFmtId="0" fontId="57" fillId="0" borderId="0" xfId="28" applyFont="1" applyFill="1" applyBorder="1" applyAlignment="1">
      <alignment horizontal="left" vertical="top"/>
      <protection/>
    </xf>
    <xf numFmtId="0" fontId="57" fillId="0" borderId="0" xfId="28" applyFont="1" applyFill="1" applyBorder="1" applyAlignment="1">
      <alignment wrapText="1"/>
      <protection/>
    </xf>
    <xf numFmtId="0" fontId="60" fillId="0" borderId="0" xfId="28" applyFont="1" applyBorder="1" applyAlignment="1">
      <alignment horizontal="left" vertical="top"/>
      <protection/>
    </xf>
    <xf numFmtId="0" fontId="60" fillId="0" borderId="0" xfId="28" applyFont="1" applyBorder="1" applyAlignment="1">
      <alignment wrapText="1"/>
      <protection/>
    </xf>
    <xf numFmtId="0" fontId="60" fillId="0" borderId="0" xfId="28" applyFont="1" applyBorder="1">
      <alignment/>
      <protection/>
    </xf>
    <xf numFmtId="1" fontId="57" fillId="0" borderId="0" xfId="28" applyNumberFormat="1" applyFont="1" applyBorder="1">
      <alignment/>
      <protection/>
    </xf>
    <xf numFmtId="1" fontId="57" fillId="0" borderId="0" xfId="28" applyNumberFormat="1" applyFont="1" applyFill="1" applyBorder="1">
      <alignment/>
      <protection/>
    </xf>
    <xf numFmtId="4" fontId="60" fillId="0" borderId="0" xfId="28" applyNumberFormat="1" applyFont="1" applyFill="1" applyBorder="1" applyAlignment="1">
      <alignment horizontal="right" vertical="top"/>
      <protection/>
    </xf>
    <xf numFmtId="0" fontId="22" fillId="0" borderId="72" xfId="28" applyFont="1" applyBorder="1" applyAlignment="1">
      <alignment horizontal="left" vertical="top"/>
      <protection/>
    </xf>
    <xf numFmtId="0" fontId="60" fillId="0" borderId="73" xfId="28" applyFont="1" applyBorder="1" applyAlignment="1">
      <alignment wrapText="1"/>
      <protection/>
    </xf>
    <xf numFmtId="0" fontId="60" fillId="0" borderId="73" xfId="28" applyFont="1" applyBorder="1">
      <alignment/>
      <protection/>
    </xf>
    <xf numFmtId="4" fontId="22" fillId="0" borderId="0" xfId="28" applyNumberFormat="1" applyFont="1" applyFill="1" applyBorder="1" applyAlignment="1">
      <alignment horizontal="right" vertical="top"/>
      <protection/>
    </xf>
    <xf numFmtId="0" fontId="63" fillId="0" borderId="0" xfId="28" applyFont="1">
      <alignment/>
      <protection/>
    </xf>
    <xf numFmtId="0" fontId="22" fillId="0" borderId="74" xfId="28" applyFont="1" applyBorder="1" applyAlignment="1">
      <alignment horizontal="left" vertical="top"/>
      <protection/>
    </xf>
    <xf numFmtId="0" fontId="60" fillId="0" borderId="75" xfId="28" applyFont="1" applyBorder="1" applyAlignment="1">
      <alignment wrapText="1"/>
      <protection/>
    </xf>
    <xf numFmtId="0" fontId="60" fillId="0" borderId="75" xfId="28" applyFont="1" applyBorder="1">
      <alignment/>
      <protection/>
    </xf>
    <xf numFmtId="4" fontId="63" fillId="0" borderId="0" xfId="28" applyNumberFormat="1" applyFont="1">
      <alignment/>
      <protection/>
    </xf>
    <xf numFmtId="4" fontId="22" fillId="0" borderId="0" xfId="28" applyNumberFormat="1" applyFont="1" applyBorder="1" applyAlignment="1">
      <alignment/>
      <protection/>
    </xf>
    <xf numFmtId="4" fontId="7" fillId="0" borderId="0" xfId="28" applyNumberFormat="1" applyFont="1" applyBorder="1" applyAlignment="1">
      <alignment/>
      <protection/>
    </xf>
    <xf numFmtId="0" fontId="22" fillId="0" borderId="38" xfId="28" applyFont="1" applyBorder="1">
      <alignment/>
      <protection/>
    </xf>
    <xf numFmtId="0" fontId="60" fillId="0" borderId="10" xfId="28" applyFont="1" applyBorder="1" applyAlignment="1">
      <alignment/>
      <protection/>
    </xf>
    <xf numFmtId="0" fontId="57" fillId="0" borderId="10" xfId="28" applyFont="1" applyBorder="1">
      <alignment/>
      <protection/>
    </xf>
    <xf numFmtId="4" fontId="22" fillId="0" borderId="0" xfId="28" applyNumberFormat="1" applyFont="1" applyBorder="1">
      <alignment/>
      <protection/>
    </xf>
    <xf numFmtId="0" fontId="60" fillId="0" borderId="0" xfId="28" applyFont="1" applyBorder="1" applyAlignment="1">
      <alignment/>
      <protection/>
    </xf>
    <xf numFmtId="4" fontId="60" fillId="0" borderId="0" xfId="28" applyNumberFormat="1" applyFont="1" applyBorder="1">
      <alignment/>
      <protection/>
    </xf>
    <xf numFmtId="4" fontId="1" fillId="0" borderId="0" xfId="28" applyNumberFormat="1" applyFont="1">
      <alignment/>
      <protection/>
    </xf>
    <xf numFmtId="4" fontId="64" fillId="0" borderId="0" xfId="28" applyNumberFormat="1" applyFont="1" applyBorder="1">
      <alignment/>
      <protection/>
    </xf>
    <xf numFmtId="0" fontId="65" fillId="0" borderId="0" xfId="28" applyFont="1" applyBorder="1">
      <alignment/>
      <protection/>
    </xf>
    <xf numFmtId="3" fontId="60" fillId="0" borderId="0" xfId="28" applyNumberFormat="1" applyFont="1" applyBorder="1">
      <alignment/>
      <protection/>
    </xf>
    <xf numFmtId="0" fontId="22" fillId="0" borderId="0" xfId="28" applyFont="1" applyFill="1" applyBorder="1">
      <alignment/>
      <protection/>
    </xf>
    <xf numFmtId="0" fontId="25" fillId="0" borderId="0" xfId="28" applyFont="1" applyBorder="1" applyAlignment="1">
      <alignment/>
      <protection/>
    </xf>
    <xf numFmtId="0" fontId="25" fillId="0" borderId="0" xfId="28" applyFont="1" applyFill="1" applyBorder="1" applyAlignment="1">
      <alignment wrapText="1"/>
      <protection/>
    </xf>
    <xf numFmtId="0" fontId="66" fillId="0" borderId="0" xfId="28" applyFont="1" applyFill="1" applyBorder="1">
      <alignment/>
      <protection/>
    </xf>
    <xf numFmtId="0" fontId="67" fillId="0" borderId="0" xfId="28" applyFont="1" applyFill="1" applyBorder="1">
      <alignment/>
      <protection/>
    </xf>
    <xf numFmtId="4" fontId="60" fillId="0" borderId="0" xfId="28" applyNumberFormat="1" applyFont="1" applyFill="1" applyBorder="1">
      <alignment/>
      <protection/>
    </xf>
    <xf numFmtId="0" fontId="66" fillId="0" borderId="0" xfId="28" applyFont="1">
      <alignment/>
      <protection/>
    </xf>
    <xf numFmtId="0" fontId="66" fillId="0" borderId="0" xfId="28" applyFont="1" applyFill="1">
      <alignment/>
      <protection/>
    </xf>
    <xf numFmtId="0" fontId="7" fillId="0" borderId="0" xfId="28" applyFont="1" applyFill="1" applyBorder="1">
      <alignment/>
      <protection/>
    </xf>
    <xf numFmtId="4" fontId="7" fillId="0" borderId="0" xfId="28" applyNumberFormat="1" applyFont="1" applyFill="1" applyBorder="1">
      <alignment/>
      <protection/>
    </xf>
    <xf numFmtId="0" fontId="36" fillId="0" borderId="0" xfId="28" applyFont="1">
      <alignment/>
      <protection/>
    </xf>
    <xf numFmtId="4" fontId="1" fillId="0" borderId="0" xfId="28" applyNumberFormat="1" applyFill="1">
      <alignment/>
      <protection/>
    </xf>
    <xf numFmtId="4" fontId="1" fillId="0" borderId="0" xfId="28" applyNumberFormat="1">
      <alignment/>
      <protection/>
    </xf>
    <xf numFmtId="0" fontId="0" fillId="0" borderId="0" xfId="28" applyFont="1" applyAlignment="1">
      <alignment vertical="center"/>
      <protection/>
    </xf>
    <xf numFmtId="1" fontId="7" fillId="0" borderId="76" xfId="28" applyNumberFormat="1" applyFont="1" applyBorder="1" applyAlignment="1">
      <alignment/>
      <protection/>
    </xf>
    <xf numFmtId="1" fontId="24" fillId="0" borderId="77" xfId="28" applyNumberFormat="1" applyFont="1" applyBorder="1" applyAlignment="1">
      <alignment/>
      <protection/>
    </xf>
    <xf numFmtId="0" fontId="8" fillId="0" borderId="0" xfId="28" applyFont="1">
      <alignment/>
      <protection/>
    </xf>
    <xf numFmtId="4" fontId="60" fillId="0" borderId="0" xfId="28" applyNumberFormat="1" applyFont="1" applyBorder="1" applyAlignment="1">
      <alignment/>
      <protection/>
    </xf>
    <xf numFmtId="4" fontId="61" fillId="0" borderId="0" xfId="28" applyNumberFormat="1" applyFont="1" applyBorder="1" applyAlignment="1">
      <alignment/>
      <protection/>
    </xf>
    <xf numFmtId="4" fontId="61" fillId="0" borderId="0" xfId="28" applyNumberFormat="1" applyFont="1" applyAlignment="1">
      <alignment/>
      <protection/>
    </xf>
    <xf numFmtId="3" fontId="1" fillId="0" borderId="0" xfId="28" applyNumberFormat="1" applyFont="1">
      <alignment/>
      <protection/>
    </xf>
    <xf numFmtId="4" fontId="60" fillId="0" borderId="0" xfId="0" applyNumberFormat="1" applyFont="1" applyBorder="1" applyAlignment="1">
      <alignment/>
    </xf>
    <xf numFmtId="4" fontId="61" fillId="0" borderId="0" xfId="0" applyNumberFormat="1" applyFont="1" applyBorder="1" applyAlignment="1">
      <alignment/>
    </xf>
    <xf numFmtId="4" fontId="61" fillId="0" borderId="0" xfId="0" applyNumberFormat="1" applyFont="1" applyAlignment="1">
      <alignment/>
    </xf>
    <xf numFmtId="2" fontId="57" fillId="0" borderId="0" xfId="0" applyNumberFormat="1" applyFont="1" applyBorder="1" applyAlignment="1">
      <alignment/>
    </xf>
    <xf numFmtId="4" fontId="57" fillId="0" borderId="0" xfId="0" applyNumberFormat="1" applyFont="1" applyFill="1" applyBorder="1" applyAlignment="1">
      <alignment/>
    </xf>
    <xf numFmtId="4" fontId="22" fillId="0" borderId="77" xfId="28" applyNumberFormat="1" applyFont="1" applyBorder="1" applyAlignment="1">
      <alignment/>
      <protection/>
    </xf>
    <xf numFmtId="4" fontId="7" fillId="0" borderId="76" xfId="28" applyNumberFormat="1" applyFont="1" applyBorder="1" applyAlignment="1">
      <alignment/>
      <protection/>
    </xf>
    <xf numFmtId="0" fontId="1" fillId="2" borderId="0" xfId="28" applyFill="1">
      <alignment/>
      <protection/>
    </xf>
    <xf numFmtId="0" fontId="52" fillId="2" borderId="0" xfId="28" applyFont="1" applyFill="1" applyAlignment="1">
      <alignment horizontal="center" vertical="top"/>
      <protection/>
    </xf>
    <xf numFmtId="0" fontId="68" fillId="0" borderId="0" xfId="28" applyFont="1" applyBorder="1">
      <alignment/>
      <protection/>
    </xf>
    <xf numFmtId="4" fontId="1" fillId="0" borderId="0" xfId="28" applyNumberFormat="1" applyFont="1" applyFill="1">
      <alignment/>
      <protection/>
    </xf>
    <xf numFmtId="0" fontId="1" fillId="0" borderId="0" xfId="28" applyFont="1" applyFill="1" applyBorder="1">
      <alignment/>
      <protection/>
    </xf>
    <xf numFmtId="0" fontId="1" fillId="0" borderId="0" xfId="28" applyFont="1" applyFill="1" applyBorder="1">
      <alignment/>
      <protection/>
    </xf>
    <xf numFmtId="49" fontId="1" fillId="0" borderId="0" xfId="28" applyNumberFormat="1" applyFont="1">
      <alignment/>
      <protection/>
    </xf>
    <xf numFmtId="0" fontId="1" fillId="0" borderId="0" xfId="28" applyAlignment="1">
      <alignment/>
      <protection/>
    </xf>
    <xf numFmtId="2" fontId="57" fillId="0" borderId="0" xfId="28" applyNumberFormat="1" applyFont="1" applyBorder="1" applyAlignment="1">
      <alignment/>
      <protection/>
    </xf>
    <xf numFmtId="4" fontId="57" fillId="0" borderId="0" xfId="28" applyNumberFormat="1" applyFont="1" applyFill="1" applyBorder="1" applyAlignment="1">
      <alignment/>
      <protection/>
    </xf>
    <xf numFmtId="4" fontId="60" fillId="0" borderId="0" xfId="28" applyNumberFormat="1" applyFont="1" applyFill="1" applyBorder="1" applyAlignment="1">
      <alignment/>
      <protection/>
    </xf>
    <xf numFmtId="4" fontId="61" fillId="0" borderId="0" xfId="28" applyNumberFormat="1" applyFont="1" applyFill="1" applyAlignment="1">
      <alignment/>
      <protection/>
    </xf>
    <xf numFmtId="4" fontId="61" fillId="0" borderId="0" xfId="28" applyNumberFormat="1" applyFont="1" applyFill="1" applyBorder="1" applyAlignment="1">
      <alignment/>
      <protection/>
    </xf>
    <xf numFmtId="0" fontId="44" fillId="0" borderId="10" xfId="24" applyFont="1" applyBorder="1" applyAlignment="1">
      <alignment vertical="top" wrapText="1"/>
      <protection/>
    </xf>
    <xf numFmtId="4" fontId="44" fillId="0" borderId="10" xfId="24" applyNumberFormat="1" applyFont="1" applyBorder="1" applyAlignment="1">
      <alignment vertical="top" wrapText="1"/>
      <protection/>
    </xf>
    <xf numFmtId="3" fontId="44" fillId="0" borderId="10" xfId="24" applyNumberFormat="1" applyFont="1" applyBorder="1" applyAlignment="1">
      <alignment vertical="top" wrapText="1"/>
      <protection/>
    </xf>
    <xf numFmtId="3" fontId="69" fillId="0" borderId="0" xfId="24" applyNumberFormat="1" applyFont="1" applyAlignment="1">
      <alignment vertical="top" wrapText="1"/>
      <protection/>
    </xf>
    <xf numFmtId="0" fontId="70" fillId="0" borderId="0" xfId="24" applyFont="1" applyBorder="1">
      <alignment/>
      <protection/>
    </xf>
    <xf numFmtId="0" fontId="70" fillId="0" borderId="0" xfId="24" applyFont="1">
      <alignment/>
      <protection/>
    </xf>
    <xf numFmtId="3" fontId="70" fillId="0" borderId="0" xfId="24" applyNumberFormat="1" applyFont="1">
      <alignment/>
      <protection/>
    </xf>
    <xf numFmtId="3" fontId="5" fillId="6" borderId="5" xfId="0" applyNumberFormat="1" applyFont="1" applyFill="1" applyBorder="1" applyAlignment="1">
      <alignment horizontal="right"/>
    </xf>
    <xf numFmtId="3" fontId="45" fillId="0" borderId="0" xfId="24" applyNumberFormat="1" applyFont="1" applyAlignment="1">
      <alignment vertical="top" wrapText="1"/>
      <protection/>
    </xf>
    <xf numFmtId="49" fontId="5" fillId="3" borderId="10" xfId="0" applyNumberFormat="1" applyFont="1" applyFill="1" applyBorder="1" applyAlignment="1">
      <alignment horizontal="left" vertical="center"/>
    </xf>
    <xf numFmtId="0" fontId="5" fillId="3" borderId="10" xfId="0" applyFont="1" applyFill="1" applyBorder="1" applyAlignment="1">
      <alignment vertical="center"/>
    </xf>
    <xf numFmtId="164" fontId="4" fillId="3" borderId="11" xfId="0" applyNumberFormat="1" applyFont="1" applyFill="1" applyBorder="1"/>
    <xf numFmtId="3" fontId="5" fillId="5" borderId="47" xfId="0" applyNumberFormat="1" applyFont="1" applyFill="1" applyBorder="1" applyAlignment="1">
      <alignment horizontal="right" vertical="center"/>
    </xf>
    <xf numFmtId="3" fontId="5" fillId="6" borderId="47" xfId="0" applyNumberFormat="1" applyFont="1" applyFill="1" applyBorder="1" applyAlignment="1">
      <alignment horizontal="right" vertical="center"/>
    </xf>
    <xf numFmtId="3" fontId="5" fillId="7" borderId="47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horizontal="left"/>
    </xf>
    <xf numFmtId="3" fontId="5" fillId="5" borderId="12" xfId="0" applyNumberFormat="1" applyFont="1" applyFill="1" applyBorder="1" applyAlignment="1">
      <alignment horizontal="right"/>
    </xf>
    <xf numFmtId="3" fontId="4" fillId="6" borderId="12" xfId="0" applyNumberFormat="1" applyFont="1" applyFill="1" applyBorder="1" applyAlignment="1">
      <alignment horizontal="right"/>
    </xf>
    <xf numFmtId="3" fontId="4" fillId="5" borderId="1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4" fillId="0" borderId="2" xfId="0" applyFont="1" applyBorder="1"/>
    <xf numFmtId="164" fontId="4" fillId="0" borderId="3" xfId="0" applyNumberFormat="1" applyFont="1" applyBorder="1"/>
    <xf numFmtId="3" fontId="4" fillId="6" borderId="3" xfId="0" applyNumberFormat="1" applyFont="1" applyFill="1" applyBorder="1" applyAlignment="1">
      <alignment horizontal="right"/>
    </xf>
    <xf numFmtId="3" fontId="5" fillId="7" borderId="3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4" fillId="7" borderId="3" xfId="0" applyNumberFormat="1" applyFont="1" applyFill="1" applyBorder="1" applyAlignment="1">
      <alignment horizontal="right"/>
    </xf>
    <xf numFmtId="0" fontId="1" fillId="0" borderId="78" xfId="29" applyFont="1" applyBorder="1" applyAlignment="1" applyProtection="1">
      <alignment horizontal="left"/>
      <protection/>
    </xf>
    <xf numFmtId="0" fontId="1" fillId="0" borderId="79" xfId="29" applyFont="1" applyBorder="1" applyAlignment="1" applyProtection="1">
      <alignment horizontal="left"/>
      <protection/>
    </xf>
    <xf numFmtId="0" fontId="1" fillId="0" borderId="80" xfId="29" applyFont="1" applyBorder="1" applyAlignment="1" applyProtection="1">
      <alignment horizontal="left"/>
      <protection/>
    </xf>
    <xf numFmtId="0" fontId="50" fillId="0" borderId="0" xfId="29" applyAlignment="1" applyProtection="1">
      <alignment horizontal="left" vertical="top"/>
      <protection locked="0"/>
    </xf>
    <xf numFmtId="0" fontId="1" fillId="0" borderId="81" xfId="29" applyFont="1" applyBorder="1" applyAlignment="1" applyProtection="1">
      <alignment horizontal="left"/>
      <protection/>
    </xf>
    <xf numFmtId="0" fontId="1" fillId="0" borderId="0" xfId="29" applyFont="1" applyAlignment="1" applyProtection="1">
      <alignment horizontal="left"/>
      <protection/>
    </xf>
    <xf numFmtId="0" fontId="71" fillId="0" borderId="0" xfId="29" applyFont="1" applyAlignment="1" applyProtection="1">
      <alignment horizontal="left"/>
      <protection/>
    </xf>
    <xf numFmtId="0" fontId="1" fillId="0" borderId="82" xfId="29" applyFont="1" applyBorder="1" applyAlignment="1" applyProtection="1">
      <alignment horizontal="left"/>
      <protection/>
    </xf>
    <xf numFmtId="0" fontId="1" fillId="0" borderId="83" xfId="29" applyFont="1" applyBorder="1" applyAlignment="1" applyProtection="1">
      <alignment horizontal="left"/>
      <protection/>
    </xf>
    <xf numFmtId="0" fontId="1" fillId="0" borderId="84" xfId="29" applyFont="1" applyBorder="1" applyAlignment="1" applyProtection="1">
      <alignment horizontal="left"/>
      <protection/>
    </xf>
    <xf numFmtId="0" fontId="1" fillId="0" borderId="85" xfId="29" applyFont="1" applyBorder="1" applyAlignment="1" applyProtection="1">
      <alignment horizontal="left"/>
      <protection/>
    </xf>
    <xf numFmtId="0" fontId="9" fillId="0" borderId="78" xfId="29" applyFont="1" applyBorder="1" applyAlignment="1" applyProtection="1">
      <alignment horizontal="left" vertical="center"/>
      <protection/>
    </xf>
    <xf numFmtId="0" fontId="9" fillId="0" borderId="79" xfId="29" applyFont="1" applyBorder="1" applyAlignment="1" applyProtection="1">
      <alignment horizontal="left" vertical="center"/>
      <protection/>
    </xf>
    <xf numFmtId="0" fontId="9" fillId="0" borderId="80" xfId="29" applyFont="1" applyBorder="1" applyAlignment="1" applyProtection="1">
      <alignment horizontal="left" vertical="center"/>
      <protection/>
    </xf>
    <xf numFmtId="0" fontId="9" fillId="0" borderId="81" xfId="29" applyFont="1" applyBorder="1" applyAlignment="1" applyProtection="1">
      <alignment horizontal="left" vertical="center"/>
      <protection/>
    </xf>
    <xf numFmtId="0" fontId="9" fillId="0" borderId="0" xfId="29" applyFont="1" applyAlignment="1" applyProtection="1">
      <alignment horizontal="left" vertical="center"/>
      <protection/>
    </xf>
    <xf numFmtId="0" fontId="23" fillId="0" borderId="86" xfId="29" applyFont="1" applyBorder="1" applyAlignment="1" applyProtection="1">
      <alignment horizontal="left" vertical="center"/>
      <protection/>
    </xf>
    <xf numFmtId="0" fontId="9" fillId="0" borderId="87" xfId="29" applyFont="1" applyBorder="1" applyAlignment="1" applyProtection="1">
      <alignment horizontal="left" vertical="center"/>
      <protection/>
    </xf>
    <xf numFmtId="0" fontId="9" fillId="0" borderId="82" xfId="29" applyFont="1" applyBorder="1" applyAlignment="1" applyProtection="1">
      <alignment horizontal="left" vertical="center"/>
      <protection/>
    </xf>
    <xf numFmtId="0" fontId="23" fillId="0" borderId="88" xfId="29" applyFont="1" applyBorder="1" applyAlignment="1" applyProtection="1">
      <alignment horizontal="left" vertical="center"/>
      <protection/>
    </xf>
    <xf numFmtId="0" fontId="9" fillId="0" borderId="89" xfId="29" applyFont="1" applyBorder="1" applyAlignment="1" applyProtection="1">
      <alignment horizontal="left" vertical="center"/>
      <protection/>
    </xf>
    <xf numFmtId="0" fontId="23" fillId="0" borderId="90" xfId="29" applyFont="1" applyBorder="1" applyAlignment="1" applyProtection="1">
      <alignment horizontal="left" vertical="center"/>
      <protection/>
    </xf>
    <xf numFmtId="0" fontId="9" fillId="0" borderId="91" xfId="29" applyFont="1" applyBorder="1" applyAlignment="1" applyProtection="1">
      <alignment horizontal="left" vertical="center"/>
      <protection/>
    </xf>
    <xf numFmtId="0" fontId="23" fillId="0" borderId="92" xfId="29" applyFont="1" applyBorder="1" applyAlignment="1" applyProtection="1">
      <alignment horizontal="left" vertical="center"/>
      <protection/>
    </xf>
    <xf numFmtId="0" fontId="9" fillId="0" borderId="93" xfId="29" applyFont="1" applyBorder="1" applyAlignment="1" applyProtection="1">
      <alignment horizontal="left" vertical="center"/>
      <protection/>
    </xf>
    <xf numFmtId="0" fontId="23" fillId="0" borderId="0" xfId="29" applyFont="1" applyAlignment="1" applyProtection="1">
      <alignment horizontal="left" vertical="center"/>
      <protection/>
    </xf>
    <xf numFmtId="0" fontId="72" fillId="0" borderId="0" xfId="29" applyFont="1" applyAlignment="1" applyProtection="1">
      <alignment horizontal="left" vertical="center"/>
      <protection/>
    </xf>
    <xf numFmtId="0" fontId="23" fillId="0" borderId="67" xfId="29" applyFont="1" applyBorder="1" applyAlignment="1" applyProtection="1">
      <alignment horizontal="left" vertical="center"/>
      <protection/>
    </xf>
    <xf numFmtId="0" fontId="9" fillId="0" borderId="94" xfId="29" applyFont="1" applyBorder="1" applyAlignment="1" applyProtection="1">
      <alignment horizontal="left" vertical="center"/>
      <protection/>
    </xf>
    <xf numFmtId="0" fontId="23" fillId="0" borderId="93" xfId="29" applyFont="1" applyBorder="1" applyAlignment="1" applyProtection="1">
      <alignment horizontal="left" vertical="center"/>
      <protection/>
    </xf>
    <xf numFmtId="0" fontId="33" fillId="0" borderId="0" xfId="29" applyFont="1" applyAlignment="1" applyProtection="1">
      <alignment horizontal="left" vertical="center"/>
      <protection/>
    </xf>
    <xf numFmtId="0" fontId="9" fillId="0" borderId="83" xfId="29" applyFont="1" applyBorder="1" applyAlignment="1" applyProtection="1">
      <alignment horizontal="left" vertical="center"/>
      <protection/>
    </xf>
    <xf numFmtId="0" fontId="9" fillId="0" borderId="84" xfId="29" applyFont="1" applyBorder="1" applyAlignment="1" applyProtection="1">
      <alignment horizontal="left" vertical="center"/>
      <protection/>
    </xf>
    <xf numFmtId="0" fontId="9" fillId="0" borderId="85" xfId="29" applyFont="1" applyBorder="1" applyAlignment="1" applyProtection="1">
      <alignment horizontal="left" vertical="center"/>
      <protection/>
    </xf>
    <xf numFmtId="0" fontId="9" fillId="0" borderId="95" xfId="29" applyFont="1" applyBorder="1" applyAlignment="1" applyProtection="1">
      <alignment horizontal="left" vertical="center"/>
      <protection/>
    </xf>
    <xf numFmtId="0" fontId="9" fillId="0" borderId="96" xfId="29" applyFont="1" applyBorder="1" applyAlignment="1" applyProtection="1">
      <alignment horizontal="left" vertical="center"/>
      <protection/>
    </xf>
    <xf numFmtId="0" fontId="8" fillId="0" borderId="96" xfId="29" applyFont="1" applyBorder="1" applyAlignment="1" applyProtection="1">
      <alignment horizontal="left" vertical="center"/>
      <protection/>
    </xf>
    <xf numFmtId="0" fontId="9" fillId="0" borderId="97" xfId="29" applyFont="1" applyBorder="1" applyAlignment="1" applyProtection="1">
      <alignment horizontal="left" vertical="center"/>
      <protection/>
    </xf>
    <xf numFmtId="0" fontId="9" fillId="0" borderId="98" xfId="29" applyFont="1" applyBorder="1" applyAlignment="1" applyProtection="1">
      <alignment horizontal="left" vertical="center"/>
      <protection/>
    </xf>
    <xf numFmtId="0" fontId="9" fillId="0" borderId="99" xfId="29" applyFont="1" applyBorder="1" applyAlignment="1" applyProtection="1">
      <alignment horizontal="left" vertical="center"/>
      <protection/>
    </xf>
    <xf numFmtId="0" fontId="9" fillId="0" borderId="100" xfId="29" applyFont="1" applyBorder="1" applyAlignment="1" applyProtection="1">
      <alignment horizontal="left" vertical="center"/>
      <protection/>
    </xf>
    <xf numFmtId="0" fontId="9" fillId="0" borderId="101" xfId="29" applyFont="1" applyBorder="1" applyAlignment="1" applyProtection="1">
      <alignment horizontal="left" vertical="center"/>
      <protection/>
    </xf>
    <xf numFmtId="0" fontId="9" fillId="0" borderId="102" xfId="29" applyFont="1" applyBorder="1" applyAlignment="1" applyProtection="1">
      <alignment horizontal="left" vertical="center"/>
      <protection/>
    </xf>
    <xf numFmtId="0" fontId="9" fillId="0" borderId="103" xfId="29" applyFont="1" applyBorder="1" applyAlignment="1" applyProtection="1">
      <alignment horizontal="left" vertical="center"/>
      <protection/>
    </xf>
    <xf numFmtId="173" fontId="1" fillId="0" borderId="104" xfId="29" applyNumberFormat="1" applyFont="1" applyBorder="1" applyAlignment="1" applyProtection="1">
      <alignment horizontal="right" vertical="center"/>
      <protection/>
    </xf>
    <xf numFmtId="173" fontId="1" fillId="0" borderId="105" xfId="29" applyNumberFormat="1" applyFont="1" applyBorder="1" applyAlignment="1" applyProtection="1">
      <alignment horizontal="right" vertical="center"/>
      <protection/>
    </xf>
    <xf numFmtId="169" fontId="0" fillId="0" borderId="106" xfId="29" applyNumberFormat="1" applyFont="1" applyBorder="1" applyAlignment="1" applyProtection="1">
      <alignment horizontal="right" vertical="center"/>
      <protection/>
    </xf>
    <xf numFmtId="170" fontId="0" fillId="0" borderId="107" xfId="29" applyNumberFormat="1" applyFont="1" applyBorder="1" applyAlignment="1" applyProtection="1">
      <alignment horizontal="right" vertical="center"/>
      <protection/>
    </xf>
    <xf numFmtId="173" fontId="1" fillId="0" borderId="106" xfId="29" applyNumberFormat="1" applyFont="1" applyBorder="1" applyAlignment="1" applyProtection="1">
      <alignment horizontal="right" vertical="center"/>
      <protection/>
    </xf>
    <xf numFmtId="173" fontId="1" fillId="0" borderId="107" xfId="29" applyNumberFormat="1" applyFont="1" applyBorder="1" applyAlignment="1" applyProtection="1">
      <alignment horizontal="right" vertical="center"/>
      <protection/>
    </xf>
    <xf numFmtId="173" fontId="0" fillId="0" borderId="105" xfId="29" applyNumberFormat="1" applyFont="1" applyBorder="1" applyAlignment="1" applyProtection="1">
      <alignment horizontal="right" vertical="center"/>
      <protection/>
    </xf>
    <xf numFmtId="169" fontId="0" fillId="0" borderId="0" xfId="29" applyNumberFormat="1" applyFont="1" applyAlignment="1" applyProtection="1">
      <alignment horizontal="right" vertical="center"/>
      <protection/>
    </xf>
    <xf numFmtId="170" fontId="0" fillId="0" borderId="105" xfId="29" applyNumberFormat="1" applyFont="1" applyBorder="1" applyAlignment="1" applyProtection="1">
      <alignment horizontal="right" vertical="center"/>
      <protection/>
    </xf>
    <xf numFmtId="173" fontId="1" fillId="0" borderId="108" xfId="29" applyNumberFormat="1" applyFont="1" applyBorder="1" applyAlignment="1" applyProtection="1">
      <alignment horizontal="right" vertical="center"/>
      <protection/>
    </xf>
    <xf numFmtId="0" fontId="8" fillId="0" borderId="96" xfId="29" applyFont="1" applyBorder="1" applyAlignment="1" applyProtection="1">
      <alignment horizontal="left" vertical="center" wrapText="1"/>
      <protection/>
    </xf>
    <xf numFmtId="0" fontId="7" fillId="0" borderId="98" xfId="29" applyFont="1" applyBorder="1" applyAlignment="1" applyProtection="1">
      <alignment horizontal="left" vertical="center"/>
      <protection/>
    </xf>
    <xf numFmtId="0" fontId="7" fillId="0" borderId="100" xfId="29" applyFont="1" applyBorder="1" applyAlignment="1" applyProtection="1">
      <alignment horizontal="left" vertical="center"/>
      <protection/>
    </xf>
    <xf numFmtId="0" fontId="8" fillId="0" borderId="101" xfId="29" applyFont="1" applyBorder="1" applyAlignment="1" applyProtection="1">
      <alignment horizontal="left" vertical="center"/>
      <protection/>
    </xf>
    <xf numFmtId="0" fontId="8" fillId="0" borderId="99" xfId="29" applyFont="1" applyBorder="1" applyAlignment="1" applyProtection="1">
      <alignment horizontal="left" vertical="center"/>
      <protection/>
    </xf>
    <xf numFmtId="0" fontId="8" fillId="0" borderId="103" xfId="29" applyFont="1" applyBorder="1" applyAlignment="1" applyProtection="1">
      <alignment horizontal="left" vertical="center"/>
      <protection/>
    </xf>
    <xf numFmtId="0" fontId="8" fillId="0" borderId="100" xfId="29" applyFont="1" applyBorder="1" applyAlignment="1" applyProtection="1">
      <alignment horizontal="left" vertical="center"/>
      <protection/>
    </xf>
    <xf numFmtId="0" fontId="8" fillId="0" borderId="0" xfId="29" applyFont="1" applyAlignment="1" applyProtection="1">
      <alignment horizontal="left" vertical="center"/>
      <protection/>
    </xf>
    <xf numFmtId="0" fontId="9" fillId="0" borderId="109" xfId="29" applyFont="1" applyBorder="1" applyAlignment="1" applyProtection="1">
      <alignment horizontal="center" vertical="center"/>
      <protection/>
    </xf>
    <xf numFmtId="0" fontId="73" fillId="0" borderId="110" xfId="29" applyFont="1" applyBorder="1" applyAlignment="1" applyProtection="1">
      <alignment horizontal="left" vertical="center"/>
      <protection/>
    </xf>
    <xf numFmtId="0" fontId="9" fillId="0" borderId="111" xfId="29" applyFont="1" applyBorder="1" applyAlignment="1" applyProtection="1">
      <alignment horizontal="left" vertical="center"/>
      <protection/>
    </xf>
    <xf numFmtId="0" fontId="9" fillId="0" borderId="112" xfId="29" applyFont="1" applyBorder="1" applyAlignment="1" applyProtection="1">
      <alignment horizontal="left" vertical="center"/>
      <protection/>
    </xf>
    <xf numFmtId="0" fontId="9" fillId="0" borderId="113" xfId="29" applyFont="1" applyBorder="1" applyAlignment="1" applyProtection="1">
      <alignment horizontal="left" vertical="center"/>
      <protection/>
    </xf>
    <xf numFmtId="0" fontId="9" fillId="0" borderId="114" xfId="29" applyFont="1" applyBorder="1" applyAlignment="1" applyProtection="1">
      <alignment horizontal="left" vertical="center"/>
      <protection/>
    </xf>
    <xf numFmtId="0" fontId="9" fillId="0" borderId="115" xfId="29" applyFont="1" applyBorder="1" applyAlignment="1" applyProtection="1">
      <alignment horizontal="left" vertical="center"/>
      <protection/>
    </xf>
    <xf numFmtId="0" fontId="9" fillId="0" borderId="116" xfId="29" applyFont="1" applyBorder="1" applyAlignment="1" applyProtection="1">
      <alignment horizontal="left" vertical="center"/>
      <protection/>
    </xf>
    <xf numFmtId="0" fontId="9" fillId="0" borderId="117" xfId="29" applyFont="1" applyBorder="1" applyAlignment="1" applyProtection="1">
      <alignment horizontal="left" vertical="center"/>
      <protection/>
    </xf>
    <xf numFmtId="0" fontId="9" fillId="0" borderId="118" xfId="29" applyFont="1" applyBorder="1" applyAlignment="1" applyProtection="1">
      <alignment horizontal="left" vertical="center"/>
      <protection/>
    </xf>
    <xf numFmtId="0" fontId="9" fillId="0" borderId="119" xfId="29" applyFont="1" applyBorder="1" applyAlignment="1" applyProtection="1">
      <alignment horizontal="left" vertical="center"/>
      <protection/>
    </xf>
    <xf numFmtId="0" fontId="73" fillId="0" borderId="120" xfId="29" applyFont="1" applyBorder="1" applyAlignment="1" applyProtection="1">
      <alignment horizontal="left" vertical="center"/>
      <protection/>
    </xf>
    <xf numFmtId="0" fontId="9" fillId="0" borderId="121" xfId="29" applyFont="1" applyBorder="1" applyAlignment="1" applyProtection="1">
      <alignment horizontal="center" vertical="center"/>
      <protection/>
    </xf>
    <xf numFmtId="0" fontId="9" fillId="0" borderId="107" xfId="29" applyFont="1" applyBorder="1" applyAlignment="1" applyProtection="1">
      <alignment horizontal="left" vertical="center"/>
      <protection/>
    </xf>
    <xf numFmtId="0" fontId="9" fillId="0" borderId="105" xfId="29" applyFont="1" applyBorder="1" applyAlignment="1" applyProtection="1">
      <alignment horizontal="left" vertical="center"/>
      <protection/>
    </xf>
    <xf numFmtId="0" fontId="9" fillId="0" borderId="106" xfId="29" applyFont="1" applyBorder="1" applyAlignment="1" applyProtection="1">
      <alignment horizontal="left" vertical="center"/>
      <protection/>
    </xf>
    <xf numFmtId="0" fontId="8" fillId="0" borderId="78" xfId="29" applyFont="1" applyBorder="1" applyAlignment="1" applyProtection="1">
      <alignment horizontal="left" vertical="top"/>
      <protection/>
    </xf>
    <xf numFmtId="0" fontId="9" fillId="0" borderId="122" xfId="29" applyFont="1" applyBorder="1" applyAlignment="1" applyProtection="1">
      <alignment horizontal="left"/>
      <protection/>
    </xf>
    <xf numFmtId="0" fontId="9" fillId="0" borderId="123" xfId="29" applyFont="1" applyBorder="1" applyAlignment="1" applyProtection="1">
      <alignment horizontal="left" vertical="center"/>
      <protection/>
    </xf>
    <xf numFmtId="0" fontId="74" fillId="0" borderId="0" xfId="29" applyFont="1" applyAlignment="1" applyProtection="1">
      <alignment horizontal="left" vertical="top"/>
      <protection locked="0"/>
    </xf>
    <xf numFmtId="0" fontId="8" fillId="0" borderId="124" xfId="29" applyFont="1" applyBorder="1" applyAlignment="1" applyProtection="1">
      <alignment horizontal="left" vertical="top"/>
      <protection/>
    </xf>
    <xf numFmtId="0" fontId="9" fillId="0" borderId="125" xfId="29" applyFont="1" applyBorder="1" applyAlignment="1" applyProtection="1">
      <alignment horizontal="left" vertical="center"/>
      <protection/>
    </xf>
    <xf numFmtId="0" fontId="9" fillId="0" borderId="83" xfId="29" applyFont="1" applyBorder="1" applyAlignment="1" applyProtection="1">
      <alignment horizontal="left"/>
      <protection/>
    </xf>
    <xf numFmtId="0" fontId="9" fillId="0" borderId="108" xfId="29" applyFont="1" applyBorder="1" applyAlignment="1" applyProtection="1">
      <alignment horizontal="left" vertical="center"/>
      <protection/>
    </xf>
    <xf numFmtId="0" fontId="50" fillId="0" borderId="0" xfId="29" applyFont="1" applyAlignment="1" applyProtection="1">
      <alignment horizontal="left" vertical="top"/>
      <protection locked="0"/>
    </xf>
    <xf numFmtId="170" fontId="0" fillId="0" borderId="120" xfId="0" applyNumberFormat="1" applyFont="1" applyBorder="1" applyAlignment="1" applyProtection="1">
      <alignment horizontal="right" vertical="center"/>
      <protection/>
    </xf>
    <xf numFmtId="0" fontId="9" fillId="0" borderId="113" xfId="0" applyFont="1" applyBorder="1" applyAlignment="1" applyProtection="1">
      <alignment horizontal="left" vertical="center"/>
      <protection/>
    </xf>
    <xf numFmtId="0" fontId="9" fillId="0" borderId="109" xfId="0" applyFont="1" applyBorder="1" applyAlignment="1" applyProtection="1">
      <alignment horizontal="center" vertical="center"/>
      <protection/>
    </xf>
    <xf numFmtId="0" fontId="9" fillId="0" borderId="120" xfId="0" applyFont="1" applyBorder="1" applyAlignment="1" applyProtection="1">
      <alignment horizontal="left" vertical="center"/>
      <protection/>
    </xf>
    <xf numFmtId="0" fontId="9" fillId="0" borderId="114" xfId="0" applyFont="1" applyBorder="1" applyAlignment="1" applyProtection="1">
      <alignment horizontal="left" vertical="center"/>
      <protection/>
    </xf>
    <xf numFmtId="169" fontId="1" fillId="0" borderId="120" xfId="0" applyNumberFormat="1" applyFont="1" applyBorder="1" applyAlignment="1" applyProtection="1">
      <alignment horizontal="right" vertical="center"/>
      <protection/>
    </xf>
    <xf numFmtId="173" fontId="1" fillId="0" borderId="115" xfId="0" applyNumberFormat="1" applyFont="1" applyBorder="1" applyAlignment="1" applyProtection="1">
      <alignment horizontal="right" vertical="center"/>
      <protection/>
    </xf>
    <xf numFmtId="0" fontId="23" fillId="0" borderId="120" xfId="0" applyFont="1" applyBorder="1" applyAlignment="1" applyProtection="1">
      <alignment horizontal="left" vertical="center"/>
      <protection/>
    </xf>
    <xf numFmtId="0" fontId="9" fillId="0" borderId="115" xfId="0" applyFont="1" applyBorder="1" applyAlignment="1" applyProtection="1">
      <alignment horizontal="left" vertical="center"/>
      <protection/>
    </xf>
    <xf numFmtId="174" fontId="23" fillId="0" borderId="112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26" xfId="0" applyFont="1" applyBorder="1" applyAlignment="1" applyProtection="1">
      <alignment horizontal="center" vertical="center"/>
      <protection/>
    </xf>
    <xf numFmtId="170" fontId="0" fillId="0" borderId="0" xfId="0" applyNumberFormat="1" applyFont="1" applyAlignment="1" applyProtection="1">
      <alignment horizontal="right" vertical="center"/>
      <protection/>
    </xf>
    <xf numFmtId="0" fontId="9" fillId="0" borderId="82" xfId="0" applyFont="1" applyBorder="1" applyAlignment="1" applyProtection="1">
      <alignment horizontal="left" vertical="center"/>
      <protection/>
    </xf>
    <xf numFmtId="169" fontId="1" fillId="0" borderId="0" xfId="0" applyNumberFormat="1" applyFont="1" applyAlignment="1" applyProtection="1">
      <alignment horizontal="right" vertical="center"/>
      <protection/>
    </xf>
    <xf numFmtId="173" fontId="1" fillId="0" borderId="0" xfId="0" applyNumberFormat="1" applyFont="1" applyAlignment="1" applyProtection="1">
      <alignment horizontal="right" vertical="center"/>
      <protection/>
    </xf>
    <xf numFmtId="169" fontId="0" fillId="0" borderId="0" xfId="0" applyNumberFormat="1" applyFont="1" applyAlignment="1" applyProtection="1">
      <alignment horizontal="right" vertical="center"/>
      <protection/>
    </xf>
    <xf numFmtId="170" fontId="0" fillId="0" borderId="95" xfId="0" applyNumberFormat="1" applyFont="1" applyBorder="1" applyAlignment="1" applyProtection="1">
      <alignment horizontal="right" vertical="center"/>
      <protection/>
    </xf>
    <xf numFmtId="0" fontId="9" fillId="0" borderId="97" xfId="0" applyFont="1" applyBorder="1" applyAlignment="1" applyProtection="1">
      <alignment horizontal="left" vertical="center"/>
      <protection/>
    </xf>
    <xf numFmtId="0" fontId="73" fillId="0" borderId="120" xfId="0" applyFont="1" applyBorder="1" applyAlignment="1" applyProtection="1">
      <alignment horizontal="left" vertical="center"/>
      <protection/>
    </xf>
    <xf numFmtId="169" fontId="1" fillId="0" borderId="95" xfId="0" applyNumberFormat="1" applyFont="1" applyBorder="1" applyAlignment="1" applyProtection="1">
      <alignment horizontal="right" vertical="center"/>
      <protection/>
    </xf>
    <xf numFmtId="173" fontId="1" fillId="0" borderId="97" xfId="0" applyNumberFormat="1" applyFont="1" applyBorder="1" applyAlignment="1" applyProtection="1">
      <alignment horizontal="right" vertical="center"/>
      <protection/>
    </xf>
    <xf numFmtId="0" fontId="9" fillId="0" borderId="102" xfId="0" applyFont="1" applyBorder="1" applyAlignment="1" applyProtection="1">
      <alignment horizontal="left" vertical="center"/>
      <protection/>
    </xf>
    <xf numFmtId="170" fontId="0" fillId="0" borderId="127" xfId="0" applyNumberFormat="1" applyFont="1" applyBorder="1" applyAlignment="1" applyProtection="1">
      <alignment horizontal="right" vertical="center"/>
      <protection/>
    </xf>
    <xf numFmtId="0" fontId="9" fillId="0" borderId="85" xfId="0" applyFont="1" applyBorder="1" applyAlignment="1" applyProtection="1">
      <alignment horizontal="left" vertical="center"/>
      <protection/>
    </xf>
    <xf numFmtId="0" fontId="9" fillId="0" borderId="121" xfId="0" applyFont="1" applyBorder="1" applyAlignment="1" applyProtection="1">
      <alignment horizontal="center" vertical="center"/>
      <protection/>
    </xf>
    <xf numFmtId="0" fontId="9" fillId="0" borderId="107" xfId="0" applyFont="1" applyBorder="1" applyAlignment="1" applyProtection="1">
      <alignment horizontal="left" vertical="center"/>
      <protection/>
    </xf>
    <xf numFmtId="0" fontId="9" fillId="0" borderId="106" xfId="0" applyFont="1" applyBorder="1" applyAlignment="1" applyProtection="1">
      <alignment horizontal="left" vertical="center"/>
      <protection/>
    </xf>
    <xf numFmtId="170" fontId="0" fillId="0" borderId="96" xfId="0" applyNumberFormat="1" applyFont="1" applyBorder="1" applyAlignment="1" applyProtection="1">
      <alignment horizontal="right" vertical="center"/>
      <protection/>
    </xf>
    <xf numFmtId="173" fontId="0" fillId="0" borderId="84" xfId="0" applyNumberFormat="1" applyFont="1" applyBorder="1" applyAlignment="1" applyProtection="1">
      <alignment horizontal="right" vertical="center"/>
      <protection/>
    </xf>
    <xf numFmtId="0" fontId="9" fillId="0" borderId="105" xfId="0" applyFont="1" applyBorder="1" applyAlignment="1" applyProtection="1">
      <alignment horizontal="left" vertical="center"/>
      <protection/>
    </xf>
    <xf numFmtId="0" fontId="9" fillId="0" borderId="79" xfId="0" applyFont="1" applyBorder="1" applyAlignment="1" applyProtection="1">
      <alignment horizontal="left" vertical="center"/>
      <protection/>
    </xf>
    <xf numFmtId="0" fontId="9" fillId="0" borderId="128" xfId="0" applyFont="1" applyBorder="1" applyAlignment="1" applyProtection="1">
      <alignment horizontal="left" vertical="center"/>
      <protection/>
    </xf>
    <xf numFmtId="0" fontId="9" fillId="0" borderId="129" xfId="0" applyFont="1" applyBorder="1" applyAlignment="1" applyProtection="1">
      <alignment horizontal="left" vertical="center"/>
      <protection/>
    </xf>
    <xf numFmtId="0" fontId="7" fillId="0" borderId="98" xfId="0" applyFont="1" applyBorder="1" applyAlignment="1" applyProtection="1">
      <alignment horizontal="left" vertical="center"/>
      <protection/>
    </xf>
    <xf numFmtId="0" fontId="9" fillId="0" borderId="100" xfId="0" applyFont="1" applyBorder="1" applyAlignment="1" applyProtection="1">
      <alignment horizontal="left" vertical="center"/>
      <protection/>
    </xf>
    <xf numFmtId="0" fontId="8" fillId="0" borderId="101" xfId="0" applyFont="1" applyBorder="1" applyAlignment="1" applyProtection="1">
      <alignment horizontal="left" vertical="center"/>
      <protection/>
    </xf>
    <xf numFmtId="0" fontId="9" fillId="0" borderId="99" xfId="0" applyFont="1" applyBorder="1" applyAlignment="1" applyProtection="1">
      <alignment horizontal="left" vertical="center"/>
      <protection/>
    </xf>
    <xf numFmtId="0" fontId="9" fillId="0" borderId="119" xfId="0" applyFont="1" applyBorder="1" applyAlignment="1" applyProtection="1">
      <alignment horizontal="left" vertical="center"/>
      <protection/>
    </xf>
    <xf numFmtId="0" fontId="9" fillId="0" borderId="118" xfId="0" applyFont="1" applyBorder="1" applyAlignment="1" applyProtection="1">
      <alignment horizontal="left" vertical="center"/>
      <protection/>
    </xf>
    <xf numFmtId="0" fontId="9" fillId="0" borderId="117" xfId="0" applyFont="1" applyBorder="1" applyAlignment="1" applyProtection="1">
      <alignment horizontal="left" vertical="center"/>
      <protection/>
    </xf>
    <xf numFmtId="0" fontId="9" fillId="0" borderId="116" xfId="0" applyFont="1" applyBorder="1" applyAlignment="1" applyProtection="1">
      <alignment horizontal="left"/>
      <protection/>
    </xf>
    <xf numFmtId="170" fontId="23" fillId="0" borderId="115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70" fontId="0" fillId="0" borderId="116" xfId="0" applyNumberFormat="1" applyFont="1" applyBorder="1" applyAlignment="1" applyProtection="1">
      <alignment horizontal="right" vertical="center"/>
      <protection/>
    </xf>
    <xf numFmtId="0" fontId="9" fillId="0" borderId="125" xfId="0" applyFont="1" applyBorder="1" applyAlignment="1" applyProtection="1">
      <alignment horizontal="left" vertical="center"/>
      <protection/>
    </xf>
    <xf numFmtId="0" fontId="9" fillId="0" borderId="111" xfId="0" applyFont="1" applyBorder="1" applyAlignment="1" applyProtection="1">
      <alignment horizontal="left" vertical="center"/>
      <protection/>
    </xf>
    <xf numFmtId="0" fontId="9" fillId="0" borderId="110" xfId="0" applyFont="1" applyBorder="1" applyAlignment="1" applyProtection="1">
      <alignment horizontal="left" vertical="center"/>
      <protection/>
    </xf>
    <xf numFmtId="0" fontId="23" fillId="0" borderId="115" xfId="0" applyFont="1" applyBorder="1" applyAlignment="1" applyProtection="1">
      <alignment horizontal="left" vertical="center"/>
      <protection/>
    </xf>
    <xf numFmtId="0" fontId="8" fillId="0" borderId="107" xfId="0" applyFont="1" applyBorder="1" applyAlignment="1" applyProtection="1">
      <alignment horizontal="left" vertical="center"/>
      <protection/>
    </xf>
    <xf numFmtId="170" fontId="24" fillId="0" borderId="92" xfId="0" applyNumberFormat="1" applyFont="1" applyBorder="1" applyAlignment="1" applyProtection="1">
      <alignment horizontal="right" vertical="center"/>
      <protection/>
    </xf>
    <xf numFmtId="0" fontId="1" fillId="0" borderId="99" xfId="0" applyFont="1" applyBorder="1" applyAlignment="1" applyProtection="1">
      <alignment horizontal="left" vertical="center"/>
      <protection/>
    </xf>
    <xf numFmtId="0" fontId="9" fillId="0" borderId="84" xfId="0" applyFont="1" applyBorder="1" applyAlignment="1" applyProtection="1">
      <alignment horizontal="left" vertical="center"/>
      <protection/>
    </xf>
    <xf numFmtId="0" fontId="9" fillId="0" borderId="130" xfId="0" applyFont="1" applyBorder="1" applyAlignment="1" applyProtection="1">
      <alignment horizontal="left" vertical="center"/>
      <protection/>
    </xf>
    <xf numFmtId="0" fontId="9" fillId="0" borderId="127" xfId="0" applyFont="1" applyBorder="1" applyAlignment="1" applyProtection="1">
      <alignment horizontal="left"/>
      <protection/>
    </xf>
    <xf numFmtId="170" fontId="0" fillId="0" borderId="107" xfId="0" applyNumberFormat="1" applyFont="1" applyBorder="1" applyAlignment="1" applyProtection="1">
      <alignment horizontal="right" vertical="center"/>
      <protection/>
    </xf>
    <xf numFmtId="0" fontId="2" fillId="0" borderId="12" xfId="30" applyBorder="1" applyAlignment="1">
      <alignment horizontal="center"/>
      <protection/>
    </xf>
    <xf numFmtId="0" fontId="23" fillId="0" borderId="65" xfId="27" applyFont="1" applyBorder="1" applyAlignment="1" applyProtection="1">
      <alignment horizontal="left" wrapText="1"/>
      <protection locked="0"/>
    </xf>
    <xf numFmtId="171" fontId="23" fillId="0" borderId="65" xfId="27" applyNumberFormat="1" applyFont="1" applyBorder="1" applyAlignment="1" applyProtection="1">
      <alignment horizontal="right"/>
      <protection locked="0"/>
    </xf>
    <xf numFmtId="170" fontId="23" fillId="0" borderId="65" xfId="26" applyNumberFormat="1" applyFont="1" applyBorder="1" applyAlignment="1" applyProtection="1">
      <alignment horizontal="right"/>
      <protection locked="0"/>
    </xf>
    <xf numFmtId="0" fontId="31" fillId="0" borderId="65" xfId="27" applyFont="1" applyBorder="1" applyAlignment="1" applyProtection="1">
      <alignment horizontal="left" wrapText="1"/>
      <protection locked="0"/>
    </xf>
    <xf numFmtId="171" fontId="31" fillId="0" borderId="65" xfId="27" applyNumberFormat="1" applyFont="1" applyBorder="1" applyAlignment="1" applyProtection="1">
      <alignment horizontal="right"/>
      <protection locked="0"/>
    </xf>
    <xf numFmtId="0" fontId="31" fillId="0" borderId="59" xfId="27" applyFont="1" applyBorder="1" applyAlignment="1" applyProtection="1">
      <alignment horizontal="left" wrapText="1"/>
      <protection locked="0"/>
    </xf>
    <xf numFmtId="0" fontId="23" fillId="0" borderId="56" xfId="27" applyFont="1" applyBorder="1" applyAlignment="1" applyProtection="1">
      <alignment horizontal="left" wrapText="1"/>
      <protection locked="0"/>
    </xf>
    <xf numFmtId="171" fontId="23" fillId="0" borderId="56" xfId="27" applyNumberFormat="1" applyFont="1" applyBorder="1" applyAlignment="1" applyProtection="1">
      <alignment horizontal="right"/>
      <protection locked="0"/>
    </xf>
    <xf numFmtId="0" fontId="31" fillId="0" borderId="56" xfId="27" applyFont="1" applyBorder="1" applyAlignment="1" applyProtection="1">
      <alignment horizontal="left" wrapText="1"/>
      <protection locked="0"/>
    </xf>
    <xf numFmtId="171" fontId="31" fillId="0" borderId="56" xfId="27" applyNumberFormat="1" applyFont="1" applyBorder="1" applyAlignment="1" applyProtection="1">
      <alignment horizontal="right"/>
      <protection locked="0"/>
    </xf>
    <xf numFmtId="0" fontId="23" fillId="0" borderId="62" xfId="26" applyFont="1" applyBorder="1" applyAlignment="1" applyProtection="1">
      <alignment horizontal="left" wrapText="1"/>
      <protection locked="0"/>
    </xf>
    <xf numFmtId="171" fontId="23" fillId="0" borderId="62" xfId="26" applyNumberFormat="1" applyFont="1" applyBorder="1" applyAlignment="1" applyProtection="1">
      <alignment horizontal="right"/>
      <protection locked="0"/>
    </xf>
    <xf numFmtId="170" fontId="23" fillId="0" borderId="62" xfId="26" applyNumberFormat="1" applyFont="1" applyBorder="1" applyAlignment="1" applyProtection="1">
      <alignment horizontal="right"/>
      <protection locked="0"/>
    </xf>
    <xf numFmtId="0" fontId="23" fillId="0" borderId="65" xfId="26" applyFont="1" applyBorder="1" applyAlignment="1" applyProtection="1">
      <alignment horizontal="left" wrapText="1"/>
      <protection locked="0"/>
    </xf>
    <xf numFmtId="171" fontId="23" fillId="0" borderId="65" xfId="26" applyNumberFormat="1" applyFont="1" applyBorder="1" applyAlignment="1" applyProtection="1">
      <alignment horizontal="right"/>
      <protection locked="0"/>
    </xf>
    <xf numFmtId="0" fontId="23" fillId="0" borderId="59" xfId="26" applyFont="1" applyBorder="1" applyAlignment="1" applyProtection="1">
      <alignment horizontal="left" wrapText="1"/>
      <protection locked="0"/>
    </xf>
    <xf numFmtId="171" fontId="23" fillId="0" borderId="59" xfId="26" applyNumberFormat="1" applyFont="1" applyBorder="1" applyAlignment="1" applyProtection="1">
      <alignment horizontal="right"/>
      <protection locked="0"/>
    </xf>
    <xf numFmtId="170" fontId="23" fillId="0" borderId="59" xfId="26" applyNumberFormat="1" applyFont="1" applyBorder="1" applyAlignment="1" applyProtection="1">
      <alignment horizontal="right"/>
      <protection locked="0"/>
    </xf>
    <xf numFmtId="0" fontId="23" fillId="0" borderId="65" xfId="31" applyFont="1" applyBorder="1" applyAlignment="1" applyProtection="1">
      <alignment horizontal="left" wrapText="1"/>
      <protection locked="0"/>
    </xf>
    <xf numFmtId="171" fontId="23" fillId="0" borderId="65" xfId="31" applyNumberFormat="1" applyFont="1" applyBorder="1" applyAlignment="1" applyProtection="1">
      <alignment horizontal="right"/>
      <protection locked="0"/>
    </xf>
    <xf numFmtId="170" fontId="23" fillId="0" borderId="65" xfId="31" applyNumberFormat="1" applyFont="1" applyBorder="1" applyAlignment="1" applyProtection="1">
      <alignment horizontal="right"/>
      <protection locked="0"/>
    </xf>
    <xf numFmtId="0" fontId="26" fillId="0" borderId="0" xfId="20" applyFont="1">
      <alignment/>
      <protection/>
    </xf>
    <xf numFmtId="175" fontId="26" fillId="0" borderId="0" xfId="20" applyNumberFormat="1" applyFont="1">
      <alignment/>
      <protection/>
    </xf>
    <xf numFmtId="171" fontId="26" fillId="0" borderId="0" xfId="20" applyNumberFormat="1" applyFont="1">
      <alignment/>
      <protection/>
    </xf>
    <xf numFmtId="0" fontId="23" fillId="0" borderId="131" xfId="31" applyFont="1" applyBorder="1" applyAlignment="1" applyProtection="1">
      <alignment horizontal="left" wrapText="1"/>
      <protection locked="0"/>
    </xf>
    <xf numFmtId="0" fontId="23" fillId="0" borderId="131" xfId="31" applyFont="1" applyBorder="1" applyAlignment="1" applyProtection="1">
      <alignment wrapText="1"/>
      <protection locked="0"/>
    </xf>
    <xf numFmtId="171" fontId="23" fillId="0" borderId="131" xfId="31" applyNumberFormat="1" applyFont="1" applyBorder="1" applyAlignment="1" applyProtection="1">
      <alignment horizontal="right"/>
      <protection locked="0"/>
    </xf>
    <xf numFmtId="170" fontId="23" fillId="0" borderId="131" xfId="31" applyNumberFormat="1" applyFont="1" applyBorder="1" applyAlignment="1" applyProtection="1">
      <alignment horizontal="right"/>
      <protection locked="0"/>
    </xf>
    <xf numFmtId="0" fontId="23" fillId="0" borderId="59" xfId="31" applyFont="1" applyBorder="1" applyAlignment="1" applyProtection="1">
      <alignment horizontal="left" wrapText="1"/>
      <protection locked="0"/>
    </xf>
    <xf numFmtId="171" fontId="23" fillId="0" borderId="59" xfId="31" applyNumberFormat="1" applyFont="1" applyBorder="1" applyAlignment="1" applyProtection="1">
      <alignment horizontal="right"/>
      <protection locked="0"/>
    </xf>
    <xf numFmtId="170" fontId="23" fillId="0" borderId="59" xfId="31" applyNumberFormat="1" applyFont="1" applyBorder="1" applyAlignment="1" applyProtection="1">
      <alignment horizontal="right"/>
      <protection locked="0"/>
    </xf>
    <xf numFmtId="0" fontId="23" fillId="0" borderId="56" xfId="31" applyFont="1" applyBorder="1" applyAlignment="1" applyProtection="1">
      <alignment horizontal="left" wrapText="1"/>
      <protection locked="0"/>
    </xf>
    <xf numFmtId="171" fontId="23" fillId="0" borderId="56" xfId="31" applyNumberFormat="1" applyFont="1" applyBorder="1" applyAlignment="1" applyProtection="1">
      <alignment horizontal="right"/>
      <protection locked="0"/>
    </xf>
    <xf numFmtId="170" fontId="23" fillId="0" borderId="56" xfId="31" applyNumberFormat="1" applyFont="1" applyBorder="1" applyAlignment="1" applyProtection="1">
      <alignment horizontal="right"/>
      <protection locked="0"/>
    </xf>
    <xf numFmtId="0" fontId="23" fillId="0" borderId="56" xfId="32" applyFont="1" applyBorder="1" applyAlignment="1" applyProtection="1">
      <alignment horizontal="left" wrapText="1"/>
      <protection locked="0"/>
    </xf>
    <xf numFmtId="171" fontId="23" fillId="0" borderId="56" xfId="32" applyNumberFormat="1" applyFont="1" applyBorder="1" applyAlignment="1" applyProtection="1">
      <alignment horizontal="right"/>
      <protection locked="0"/>
    </xf>
    <xf numFmtId="170" fontId="23" fillId="0" borderId="56" xfId="32" applyNumberFormat="1" applyFont="1" applyBorder="1" applyAlignment="1" applyProtection="1">
      <alignment horizontal="right"/>
      <protection locked="0"/>
    </xf>
    <xf numFmtId="0" fontId="31" fillId="0" borderId="56" xfId="32" applyFont="1" applyBorder="1" applyAlignment="1" applyProtection="1">
      <alignment horizontal="left" wrapText="1"/>
      <protection locked="0"/>
    </xf>
    <xf numFmtId="171" fontId="31" fillId="0" borderId="56" xfId="32" applyNumberFormat="1" applyFont="1" applyBorder="1" applyAlignment="1" applyProtection="1">
      <alignment horizontal="right"/>
      <protection locked="0"/>
    </xf>
    <xf numFmtId="170" fontId="31" fillId="0" borderId="56" xfId="32" applyNumberFormat="1" applyFont="1" applyBorder="1" applyAlignment="1" applyProtection="1">
      <alignment horizontal="right"/>
      <protection locked="0"/>
    </xf>
    <xf numFmtId="0" fontId="23" fillId="0" borderId="59" xfId="32" applyFont="1" applyBorder="1" applyAlignment="1" applyProtection="1">
      <alignment horizontal="left" wrapText="1"/>
      <protection locked="0"/>
    </xf>
    <xf numFmtId="171" fontId="23" fillId="0" borderId="59" xfId="27" applyNumberFormat="1" applyFont="1" applyBorder="1" applyAlignment="1" applyProtection="1">
      <alignment horizontal="right"/>
      <protection locked="0"/>
    </xf>
    <xf numFmtId="170" fontId="23" fillId="0" borderId="65" xfId="27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167" fontId="65" fillId="0" borderId="0" xfId="0" applyNumberFormat="1" applyFont="1" applyAlignment="1">
      <alignment horizontal="right"/>
    </xf>
    <xf numFmtId="167" fontId="24" fillId="0" borderId="0" xfId="0" applyNumberFormat="1" applyFont="1"/>
    <xf numFmtId="0" fontId="25" fillId="0" borderId="0" xfId="0" applyFont="1" applyAlignment="1">
      <alignment horizontal="left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167" fontId="75" fillId="0" borderId="0" xfId="0" applyNumberFormat="1" applyFont="1" applyAlignment="1">
      <alignment horizontal="right"/>
    </xf>
    <xf numFmtId="167" fontId="76" fillId="0" borderId="0" xfId="0" applyNumberFormat="1" applyFont="1"/>
    <xf numFmtId="0" fontId="38" fillId="0" borderId="0" xfId="0" applyFont="1" applyAlignment="1">
      <alignment horizontal="center"/>
    </xf>
    <xf numFmtId="167" fontId="38" fillId="0" borderId="0" xfId="0" applyNumberFormat="1" applyFont="1" applyAlignment="1">
      <alignment horizontal="right"/>
    </xf>
    <xf numFmtId="167" fontId="38" fillId="0" borderId="0" xfId="0" applyNumberFormat="1" applyFont="1"/>
    <xf numFmtId="0" fontId="37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49" fontId="25" fillId="0" borderId="0" xfId="0" applyNumberFormat="1" applyFont="1" applyBorder="1" applyAlignment="1">
      <alignment horizontal="left" wrapText="1"/>
    </xf>
    <xf numFmtId="0" fontId="0" fillId="0" borderId="0" xfId="20" applyFont="1" applyAlignment="1">
      <alignment wrapText="1"/>
      <protection/>
    </xf>
    <xf numFmtId="168" fontId="9" fillId="0" borderId="4" xfId="23" applyNumberFormat="1" applyFont="1" applyBorder="1">
      <alignment/>
      <protection/>
    </xf>
    <xf numFmtId="4" fontId="9" fillId="0" borderId="0" xfId="23" applyNumberFormat="1" applyFont="1" applyBorder="1">
      <alignment/>
      <protection/>
    </xf>
    <xf numFmtId="0" fontId="77" fillId="0" borderId="0" xfId="28" applyFont="1">
      <alignment/>
      <protection/>
    </xf>
    <xf numFmtId="0" fontId="78" fillId="0" borderId="0" xfId="28" applyFont="1">
      <alignment/>
      <protection/>
    </xf>
    <xf numFmtId="0" fontId="78" fillId="0" borderId="0" xfId="28" applyFont="1" applyAlignment="1">
      <alignment wrapText="1"/>
      <protection/>
    </xf>
    <xf numFmtId="0" fontId="78" fillId="0" borderId="0" xfId="28" applyFont="1" applyAlignment="1">
      <alignment horizontal="center"/>
      <protection/>
    </xf>
    <xf numFmtId="176" fontId="78" fillId="0" borderId="0" xfId="28" applyNumberFormat="1" applyFont="1">
      <alignment/>
      <protection/>
    </xf>
    <xf numFmtId="0" fontId="78" fillId="0" borderId="0" xfId="28" applyFont="1" applyAlignment="1">
      <alignment horizontal="left" wrapText="1"/>
      <protection/>
    </xf>
    <xf numFmtId="0" fontId="79" fillId="10" borderId="0" xfId="28" applyFont="1" applyFill="1" applyBorder="1" applyAlignment="1">
      <alignment horizontal="center" vertical="center"/>
      <protection/>
    </xf>
    <xf numFmtId="0" fontId="79" fillId="11" borderId="0" xfId="28" applyFont="1" applyFill="1" applyBorder="1" applyAlignment="1">
      <alignment horizontal="center" vertical="center"/>
      <protection/>
    </xf>
    <xf numFmtId="0" fontId="78" fillId="0" borderId="0" xfId="28" applyFont="1" applyAlignment="1">
      <alignment horizontal="left"/>
      <protection/>
    </xf>
    <xf numFmtId="176" fontId="79" fillId="0" borderId="0" xfId="28" applyNumberFormat="1" applyFont="1">
      <alignment/>
      <protection/>
    </xf>
    <xf numFmtId="0" fontId="79" fillId="12" borderId="0" xfId="28" applyFont="1" applyFill="1" applyBorder="1" applyAlignment="1">
      <alignment horizontal="center" vertical="center"/>
      <protection/>
    </xf>
    <xf numFmtId="3" fontId="78" fillId="0" borderId="0" xfId="28" applyNumberFormat="1" applyFont="1">
      <alignment/>
      <protection/>
    </xf>
    <xf numFmtId="0" fontId="80" fillId="0" borderId="0" xfId="28" applyFont="1">
      <alignment/>
      <protection/>
    </xf>
    <xf numFmtId="0" fontId="81" fillId="0" borderId="0" xfId="0" applyFont="1" applyFill="1" applyBorder="1"/>
    <xf numFmtId="0" fontId="81" fillId="0" borderId="0" xfId="0" applyFont="1" applyFill="1" applyBorder="1" applyAlignment="1">
      <alignment horizontal="right"/>
    </xf>
    <xf numFmtId="0" fontId="52" fillId="13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0" xfId="0" applyFont="1" applyBorder="1" applyAlignment="1">
      <alignment horizontal="right"/>
    </xf>
    <xf numFmtId="0" fontId="52" fillId="13" borderId="0" xfId="0" applyFont="1" applyFill="1" applyBorder="1" applyAlignment="1">
      <alignment horizontal="right"/>
    </xf>
    <xf numFmtId="0" fontId="85" fillId="13" borderId="0" xfId="0" applyFont="1" applyFill="1" applyBorder="1" applyAlignment="1">
      <alignment horizontal="left" vertical="top" wrapText="1"/>
    </xf>
    <xf numFmtId="0" fontId="86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/>
    </xf>
    <xf numFmtId="0" fontId="89" fillId="13" borderId="0" xfId="0" applyFont="1" applyFill="1" applyBorder="1" applyAlignment="1">
      <alignment horizontal="center"/>
    </xf>
    <xf numFmtId="0" fontId="89" fillId="13" borderId="0" xfId="0" applyFont="1" applyFill="1" applyBorder="1" applyAlignment="1">
      <alignment horizontal="right"/>
    </xf>
    <xf numFmtId="0" fontId="87" fillId="13" borderId="0" xfId="0" applyFont="1" applyFill="1" applyBorder="1" applyAlignment="1">
      <alignment horizontal="right"/>
    </xf>
    <xf numFmtId="14" fontId="87" fillId="0" borderId="0" xfId="0" applyNumberFormat="1" applyFont="1" applyBorder="1" applyAlignment="1">
      <alignment horizontal="center"/>
    </xf>
    <xf numFmtId="0" fontId="90" fillId="0" borderId="0" xfId="0" applyFont="1" applyFill="1" applyBorder="1"/>
    <xf numFmtId="0" fontId="88" fillId="0" borderId="0" xfId="0" applyFont="1" applyBorder="1"/>
    <xf numFmtId="0" fontId="88" fillId="0" borderId="0" xfId="0" applyFont="1" applyBorder="1" applyAlignment="1">
      <alignment horizontal="right"/>
    </xf>
    <xf numFmtId="0" fontId="89" fillId="0" borderId="0" xfId="0" applyFont="1" applyBorder="1" applyAlignment="1">
      <alignment horizontal="left"/>
    </xf>
    <xf numFmtId="14" fontId="88" fillId="0" borderId="0" xfId="0" applyNumberFormat="1" applyFont="1" applyBorder="1" applyAlignment="1">
      <alignment horizontal="right"/>
    </xf>
    <xf numFmtId="17" fontId="81" fillId="0" borderId="0" xfId="0" applyNumberFormat="1" applyFont="1" applyFill="1" applyBorder="1"/>
    <xf numFmtId="14" fontId="35" fillId="0" borderId="0" xfId="0" applyNumberFormat="1" applyFont="1" applyBorder="1" applyAlignment="1">
      <alignment horizontal="left"/>
    </xf>
    <xf numFmtId="4" fontId="91" fillId="0" borderId="0" xfId="0" applyNumberFormat="1" applyFont="1" applyFill="1" applyBorder="1"/>
    <xf numFmtId="4" fontId="81" fillId="0" borderId="0" xfId="0" applyNumberFormat="1" applyFont="1" applyFill="1" applyBorder="1"/>
    <xf numFmtId="0" fontId="87" fillId="9" borderId="52" xfId="0" applyFont="1" applyFill="1" applyBorder="1" applyAlignment="1">
      <alignment horizontal="center" vertical="center"/>
    </xf>
    <xf numFmtId="0" fontId="87" fillId="9" borderId="35" xfId="0" applyFont="1" applyFill="1" applyBorder="1" applyAlignment="1">
      <alignment horizontal="center" vertical="center"/>
    </xf>
    <xf numFmtId="4" fontId="87" fillId="9" borderId="35" xfId="0" applyNumberFormat="1" applyFont="1" applyFill="1" applyBorder="1" applyAlignment="1">
      <alignment horizontal="center" vertical="center"/>
    </xf>
    <xf numFmtId="4" fontId="87" fillId="9" borderId="37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87" fillId="9" borderId="132" xfId="0" applyFont="1" applyFill="1" applyBorder="1" applyAlignment="1">
      <alignment horizontal="center" vertical="center"/>
    </xf>
    <xf numFmtId="0" fontId="87" fillId="9" borderId="30" xfId="0" applyFont="1" applyFill="1" applyBorder="1" applyAlignment="1">
      <alignment horizontal="center" vertical="center"/>
    </xf>
    <xf numFmtId="4" fontId="87" fillId="9" borderId="30" xfId="0" applyNumberFormat="1" applyFont="1" applyFill="1" applyBorder="1" applyAlignment="1">
      <alignment horizontal="center" vertical="center"/>
    </xf>
    <xf numFmtId="4" fontId="87" fillId="9" borderId="1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2" fillId="0" borderId="0" xfId="0" applyFont="1" applyFill="1" applyBorder="1"/>
    <xf numFmtId="4" fontId="93" fillId="0" borderId="0" xfId="0" applyNumberFormat="1" applyFont="1" applyFill="1" applyBorder="1"/>
    <xf numFmtId="4" fontId="76" fillId="0" borderId="0" xfId="0" applyNumberFormat="1" applyFont="1" applyFill="1" applyBorder="1"/>
    <xf numFmtId="2" fontId="94" fillId="0" borderId="0" xfId="0" applyNumberFormat="1" applyFont="1" applyFill="1" applyBorder="1"/>
    <xf numFmtId="0" fontId="81" fillId="0" borderId="0" xfId="0" applyFont="1" applyFill="1" applyBorder="1" applyAlignment="1">
      <alignment horizontal="center"/>
    </xf>
    <xf numFmtId="4" fontId="95" fillId="0" borderId="0" xfId="0" applyNumberFormat="1" applyFont="1" applyFill="1" applyBorder="1"/>
    <xf numFmtId="2" fontId="81" fillId="0" borderId="0" xfId="0" applyNumberFormat="1" applyFont="1" applyFill="1" applyBorder="1"/>
    <xf numFmtId="0" fontId="95" fillId="0" borderId="0" xfId="0" applyFont="1" applyFill="1" applyBorder="1"/>
    <xf numFmtId="4" fontId="0" fillId="0" borderId="0" xfId="0" applyNumberFormat="1" applyFont="1" applyFill="1" applyBorder="1"/>
    <xf numFmtId="0" fontId="96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4" fontId="71" fillId="0" borderId="0" xfId="0" applyNumberFormat="1" applyFont="1" applyFill="1" applyBorder="1"/>
    <xf numFmtId="4" fontId="90" fillId="0" borderId="0" xfId="0" applyNumberFormat="1" applyFont="1" applyFill="1" applyBorder="1"/>
    <xf numFmtId="2" fontId="97" fillId="0" borderId="0" xfId="0" applyNumberFormat="1" applyFont="1" applyFill="1" applyBorder="1"/>
    <xf numFmtId="0" fontId="90" fillId="0" borderId="0" xfId="0" applyFont="1" applyFill="1" applyBorder="1" applyAlignment="1">
      <alignment horizontal="center"/>
    </xf>
    <xf numFmtId="4" fontId="98" fillId="0" borderId="0" xfId="0" applyNumberFormat="1" applyFont="1" applyFill="1" applyBorder="1"/>
    <xf numFmtId="2" fontId="90" fillId="0" borderId="0" xfId="0" applyNumberFormat="1" applyFont="1" applyFill="1" applyBorder="1"/>
    <xf numFmtId="0" fontId="98" fillId="0" borderId="0" xfId="0" applyFont="1" applyFill="1" applyBorder="1"/>
    <xf numFmtId="4" fontId="88" fillId="0" borderId="0" xfId="0" applyNumberFormat="1" applyFont="1" applyFill="1" applyBorder="1"/>
    <xf numFmtId="0" fontId="96" fillId="13" borderId="0" xfId="0" applyFont="1" applyFill="1" applyBorder="1" applyAlignment="1">
      <alignment horizontal="center"/>
    </xf>
    <xf numFmtId="0" fontId="87" fillId="13" borderId="0" xfId="0" applyFont="1" applyFill="1" applyBorder="1"/>
    <xf numFmtId="0" fontId="84" fillId="13" borderId="0" xfId="0" applyFont="1" applyFill="1" applyBorder="1"/>
    <xf numFmtId="4" fontId="99" fillId="13" borderId="0" xfId="0" applyNumberFormat="1" applyFont="1" applyFill="1" applyBorder="1"/>
    <xf numFmtId="0" fontId="84" fillId="13" borderId="0" xfId="0" applyFont="1" applyFill="1" applyBorder="1" applyAlignment="1">
      <alignment horizontal="right"/>
    </xf>
    <xf numFmtId="4" fontId="84" fillId="13" borderId="0" xfId="0" applyNumberFormat="1" applyFont="1" applyFill="1" applyBorder="1"/>
    <xf numFmtId="2" fontId="100" fillId="0" borderId="0" xfId="0" applyNumberFormat="1" applyFont="1" applyFill="1" applyBorder="1" applyAlignment="1">
      <alignment horizontal="center"/>
    </xf>
    <xf numFmtId="1" fontId="100" fillId="0" borderId="0" xfId="0" applyNumberFormat="1" applyFont="1" applyFill="1" applyBorder="1" applyAlignment="1">
      <alignment horizontal="right"/>
    </xf>
    <xf numFmtId="0" fontId="101" fillId="0" borderId="0" xfId="0" applyFont="1" applyFill="1" applyBorder="1"/>
    <xf numFmtId="2" fontId="102" fillId="0" borderId="0" xfId="0" applyNumberFormat="1" applyFont="1" applyFill="1" applyBorder="1" applyAlignment="1">
      <alignment horizontal="center"/>
    </xf>
    <xf numFmtId="1" fontId="102" fillId="0" borderId="0" xfId="0" applyNumberFormat="1" applyFont="1" applyFill="1" applyBorder="1" applyAlignment="1">
      <alignment horizontal="center"/>
    </xf>
    <xf numFmtId="0" fontId="103" fillId="13" borderId="0" xfId="0" applyFont="1" applyFill="1" applyBorder="1"/>
    <xf numFmtId="4" fontId="104" fillId="13" borderId="0" xfId="0" applyNumberFormat="1" applyFont="1" applyFill="1" applyBorder="1"/>
    <xf numFmtId="4" fontId="103" fillId="13" borderId="0" xfId="0" applyNumberFormat="1" applyFont="1" applyFill="1" applyBorder="1"/>
    <xf numFmtId="4" fontId="90" fillId="13" borderId="0" xfId="0" applyNumberFormat="1" applyFont="1" applyFill="1" applyBorder="1"/>
    <xf numFmtId="0" fontId="105" fillId="13" borderId="0" xfId="0" applyFont="1" applyFill="1" applyBorder="1"/>
    <xf numFmtId="0" fontId="88" fillId="13" borderId="0" xfId="0" applyFont="1" applyFill="1" applyBorder="1" applyAlignment="1">
      <alignment horizontal="right"/>
    </xf>
    <xf numFmtId="2" fontId="100" fillId="0" borderId="0" xfId="0" applyNumberFormat="1" applyFont="1" applyFill="1" applyBorder="1" applyAlignment="1">
      <alignment/>
    </xf>
    <xf numFmtId="0" fontId="89" fillId="13" borderId="0" xfId="0" applyFont="1" applyFill="1" applyBorder="1"/>
    <xf numFmtId="0" fontId="88" fillId="13" borderId="0" xfId="0" applyFont="1" applyFill="1" applyBorder="1"/>
    <xf numFmtId="4" fontId="88" fillId="13" borderId="0" xfId="0" applyNumberFormat="1" applyFont="1" applyFill="1" applyBorder="1"/>
    <xf numFmtId="0" fontId="71" fillId="13" borderId="0" xfId="0" applyFont="1" applyFill="1" applyBorder="1"/>
    <xf numFmtId="0" fontId="90" fillId="13" borderId="0" xfId="0" applyFont="1" applyFill="1" applyBorder="1"/>
    <xf numFmtId="4" fontId="106" fillId="13" borderId="0" xfId="0" applyNumberFormat="1" applyFont="1" applyFill="1" applyBorder="1"/>
    <xf numFmtId="0" fontId="90" fillId="13" borderId="0" xfId="0" applyFont="1" applyFill="1" applyBorder="1" applyAlignment="1">
      <alignment horizontal="right"/>
    </xf>
    <xf numFmtId="4" fontId="84" fillId="13" borderId="0" xfId="0" applyNumberFormat="1" applyFont="1" applyFill="1" applyBorder="1" applyAlignment="1">
      <alignment horizontal="right"/>
    </xf>
    <xf numFmtId="0" fontId="107" fillId="13" borderId="0" xfId="0" applyFont="1" applyFill="1" applyBorder="1"/>
    <xf numFmtId="1" fontId="100" fillId="0" borderId="0" xfId="0" applyNumberFormat="1" applyFont="1" applyFill="1" applyBorder="1" applyAlignment="1">
      <alignment horizontal="center"/>
    </xf>
    <xf numFmtId="0" fontId="108" fillId="13" borderId="0" xfId="0" applyFont="1" applyFill="1" applyBorder="1" applyAlignment="1">
      <alignment vertical="center"/>
    </xf>
    <xf numFmtId="0" fontId="87" fillId="13" borderId="52" xfId="0" applyFont="1" applyFill="1" applyBorder="1" applyAlignment="1">
      <alignment vertical="center"/>
    </xf>
    <xf numFmtId="0" fontId="88" fillId="13" borderId="35" xfId="0" applyFont="1" applyFill="1" applyBorder="1" applyAlignment="1">
      <alignment vertical="center"/>
    </xf>
    <xf numFmtId="4" fontId="104" fillId="13" borderId="35" xfId="0" applyNumberFormat="1" applyFont="1" applyFill="1" applyBorder="1"/>
    <xf numFmtId="0" fontId="88" fillId="13" borderId="35" xfId="0" applyFont="1" applyFill="1" applyBorder="1" applyAlignment="1">
      <alignment horizontal="right"/>
    </xf>
    <xf numFmtId="4" fontId="88" fillId="13" borderId="35" xfId="0" applyNumberFormat="1" applyFont="1" applyFill="1" applyBorder="1"/>
    <xf numFmtId="167" fontId="87" fillId="9" borderId="37" xfId="0" applyNumberFormat="1" applyFont="1" applyFill="1" applyBorder="1"/>
    <xf numFmtId="0" fontId="87" fillId="13" borderId="4" xfId="0" applyFont="1" applyFill="1" applyBorder="1" applyAlignment="1">
      <alignment vertical="center"/>
    </xf>
    <xf numFmtId="0" fontId="88" fillId="13" borderId="0" xfId="0" applyFont="1" applyFill="1" applyBorder="1" applyAlignment="1">
      <alignment vertical="center"/>
    </xf>
    <xf numFmtId="167" fontId="87" fillId="9" borderId="5" xfId="0" applyNumberFormat="1" applyFont="1" applyFill="1" applyBorder="1"/>
    <xf numFmtId="0" fontId="87" fillId="13" borderId="38" xfId="0" applyFont="1" applyFill="1" applyBorder="1" applyAlignment="1">
      <alignment vertical="center"/>
    </xf>
    <xf numFmtId="0" fontId="88" fillId="13" borderId="10" xfId="0" applyFont="1" applyFill="1" applyBorder="1" applyAlignment="1">
      <alignment vertical="center"/>
    </xf>
    <xf numFmtId="4" fontId="104" fillId="13" borderId="10" xfId="0" applyNumberFormat="1" applyFont="1" applyFill="1" applyBorder="1"/>
    <xf numFmtId="0" fontId="88" fillId="13" borderId="10" xfId="0" applyFont="1" applyFill="1" applyBorder="1" applyAlignment="1">
      <alignment horizontal="right"/>
    </xf>
    <xf numFmtId="4" fontId="88" fillId="13" borderId="10" xfId="0" applyNumberFormat="1" applyFont="1" applyFill="1" applyBorder="1"/>
    <xf numFmtId="167" fontId="87" fillId="9" borderId="11" xfId="0" applyNumberFormat="1" applyFont="1" applyFill="1" applyBorder="1"/>
    <xf numFmtId="0" fontId="87" fillId="13" borderId="0" xfId="0" applyFont="1" applyFill="1" applyBorder="1" applyAlignment="1">
      <alignment vertical="center"/>
    </xf>
    <xf numFmtId="167" fontId="87" fillId="0" borderId="0" xfId="0" applyNumberFormat="1" applyFont="1" applyFill="1" applyBorder="1"/>
    <xf numFmtId="167" fontId="87" fillId="9" borderId="0" xfId="0" applyNumberFormat="1" applyFont="1" applyFill="1" applyBorder="1" applyAlignment="1">
      <alignment horizontal="center"/>
    </xf>
    <xf numFmtId="0" fontId="109" fillId="13" borderId="0" xfId="0" applyFont="1" applyFill="1" applyBorder="1" applyAlignment="1">
      <alignment horizontal="center" vertical="center"/>
    </xf>
    <xf numFmtId="0" fontId="87" fillId="9" borderId="52" xfId="0" applyFont="1" applyFill="1" applyBorder="1" applyAlignment="1">
      <alignment horizontal="left" vertical="center"/>
    </xf>
    <xf numFmtId="0" fontId="88" fillId="9" borderId="35" xfId="0" applyFont="1" applyFill="1" applyBorder="1" applyAlignment="1">
      <alignment vertical="center"/>
    </xf>
    <xf numFmtId="4" fontId="84" fillId="9" borderId="35" xfId="0" applyNumberFormat="1" applyFont="1" applyFill="1" applyBorder="1" applyAlignment="1">
      <alignment vertical="center"/>
    </xf>
    <xf numFmtId="0" fontId="84" fillId="9" borderId="35" xfId="0" applyFont="1" applyFill="1" applyBorder="1" applyAlignment="1">
      <alignment horizontal="right" vertical="center"/>
    </xf>
    <xf numFmtId="0" fontId="84" fillId="9" borderId="35" xfId="0" applyFont="1" applyFill="1" applyBorder="1" applyAlignment="1">
      <alignment vertical="center"/>
    </xf>
    <xf numFmtId="167" fontId="87" fillId="9" borderId="37" xfId="0" applyNumberFormat="1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7" fillId="9" borderId="4" xfId="0" applyFont="1" applyFill="1" applyBorder="1" applyAlignment="1">
      <alignment vertical="center"/>
    </xf>
    <xf numFmtId="0" fontId="88" fillId="9" borderId="0" xfId="0" applyFont="1" applyFill="1" applyBorder="1" applyAlignment="1">
      <alignment vertical="center"/>
    </xf>
    <xf numFmtId="4" fontId="84" fillId="9" borderId="0" xfId="0" applyNumberFormat="1" applyFont="1" applyFill="1" applyBorder="1" applyAlignment="1">
      <alignment vertical="center"/>
    </xf>
    <xf numFmtId="0" fontId="84" fillId="9" borderId="0" xfId="0" applyFont="1" applyFill="1" applyBorder="1" applyAlignment="1">
      <alignment horizontal="right" vertical="center"/>
    </xf>
    <xf numFmtId="0" fontId="84" fillId="9" borderId="0" xfId="0" applyFont="1" applyFill="1" applyBorder="1" applyAlignment="1">
      <alignment vertical="center"/>
    </xf>
    <xf numFmtId="0" fontId="87" fillId="9" borderId="38" xfId="0" applyFont="1" applyFill="1" applyBorder="1" applyAlignment="1">
      <alignment vertical="center"/>
    </xf>
    <xf numFmtId="0" fontId="88" fillId="9" borderId="10" xfId="0" applyFont="1" applyFill="1" applyBorder="1" applyAlignment="1">
      <alignment vertical="center"/>
    </xf>
    <xf numFmtId="4" fontId="84" fillId="9" borderId="10" xfId="0" applyNumberFormat="1" applyFont="1" applyFill="1" applyBorder="1" applyAlignment="1">
      <alignment vertical="center"/>
    </xf>
    <xf numFmtId="0" fontId="84" fillId="9" borderId="10" xfId="0" applyFont="1" applyFill="1" applyBorder="1" applyAlignment="1">
      <alignment horizontal="right" vertical="center"/>
    </xf>
    <xf numFmtId="0" fontId="84" fillId="9" borderId="10" xfId="0" applyFont="1" applyFill="1" applyBorder="1" applyAlignment="1">
      <alignment vertical="center"/>
    </xf>
    <xf numFmtId="167" fontId="87" fillId="9" borderId="11" xfId="0" applyNumberFormat="1" applyFont="1" applyFill="1" applyBorder="1" applyAlignment="1">
      <alignment vertical="center"/>
    </xf>
    <xf numFmtId="0" fontId="110" fillId="0" borderId="0" xfId="0" applyFont="1"/>
    <xf numFmtId="0" fontId="0" fillId="0" borderId="0" xfId="0" applyAlignment="1">
      <alignment horizontal="right"/>
    </xf>
    <xf numFmtId="0" fontId="111" fillId="0" borderId="0" xfId="0" applyFont="1"/>
    <xf numFmtId="0" fontId="111" fillId="0" borderId="0" xfId="0" applyFont="1" applyAlignment="1">
      <alignment horizontal="right"/>
    </xf>
    <xf numFmtId="167" fontId="111" fillId="0" borderId="0" xfId="0" applyNumberFormat="1" applyFont="1"/>
    <xf numFmtId="4" fontId="39" fillId="14" borderId="0" xfId="24" applyNumberFormat="1" applyFont="1" applyFill="1" applyBorder="1" applyAlignment="1">
      <alignment wrapText="1"/>
      <protection/>
    </xf>
    <xf numFmtId="0" fontId="0" fillId="0" borderId="0" xfId="0" applyFont="1"/>
    <xf numFmtId="0" fontId="25" fillId="14" borderId="0" xfId="0" applyFont="1" applyFill="1" applyBorder="1"/>
    <xf numFmtId="0" fontId="25" fillId="14" borderId="0" xfId="0" applyFont="1" applyFill="1"/>
    <xf numFmtId="4" fontId="9" fillId="14" borderId="53" xfId="22" applyNumberFormat="1" applyFont="1" applyFill="1" applyBorder="1" applyAlignment="1">
      <alignment horizontal="right"/>
      <protection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39" fillId="0" borderId="0" xfId="24" applyNumberFormat="1" applyFont="1" applyFill="1" applyBorder="1" applyAlignment="1">
      <alignment wrapText="1"/>
      <protection/>
    </xf>
    <xf numFmtId="0" fontId="9" fillId="0" borderId="0" xfId="0" applyFont="1"/>
    <xf numFmtId="4" fontId="1" fillId="0" borderId="134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wrapText="1"/>
    </xf>
    <xf numFmtId="0" fontId="39" fillId="14" borderId="0" xfId="24" applyFont="1" applyFill="1" applyBorder="1">
      <alignment/>
      <protection/>
    </xf>
    <xf numFmtId="3" fontId="44" fillId="14" borderId="0" xfId="24" applyNumberFormat="1" applyFont="1" applyFill="1" applyAlignment="1">
      <alignment vertical="top" wrapText="1"/>
      <protection/>
    </xf>
    <xf numFmtId="0" fontId="39" fillId="14" borderId="0" xfId="24" applyFont="1" applyFill="1" applyBorder="1" applyAlignment="1">
      <alignment wrapText="1"/>
      <protection/>
    </xf>
    <xf numFmtId="0" fontId="44" fillId="14" borderId="0" xfId="24" applyFont="1" applyFill="1" applyAlignment="1">
      <alignment vertical="top" wrapText="1"/>
      <protection/>
    </xf>
    <xf numFmtId="4" fontId="44" fillId="14" borderId="0" xfId="24" applyNumberFormat="1" applyFont="1" applyFill="1" applyAlignment="1">
      <alignment vertical="top" wrapText="1"/>
      <protection/>
    </xf>
    <xf numFmtId="0" fontId="9" fillId="14" borderId="0" xfId="0" applyFont="1" applyFill="1"/>
    <xf numFmtId="0" fontId="1" fillId="14" borderId="0" xfId="0" applyFont="1" applyFill="1"/>
    <xf numFmtId="0" fontId="1" fillId="14" borderId="0" xfId="0" applyFont="1" applyFill="1" applyAlignment="1">
      <alignment/>
    </xf>
    <xf numFmtId="167" fontId="25" fillId="14" borderId="0" xfId="0" applyNumberFormat="1" applyFont="1" applyFill="1" applyAlignment="1">
      <alignment horizontal="right"/>
    </xf>
    <xf numFmtId="0" fontId="25" fillId="14" borderId="0" xfId="0" applyFont="1" applyFill="1" applyAlignment="1">
      <alignment wrapText="1"/>
    </xf>
    <xf numFmtId="0" fontId="25" fillId="14" borderId="0" xfId="0" applyFont="1" applyFill="1" applyAlignment="1">
      <alignment horizontal="right"/>
    </xf>
    <xf numFmtId="0" fontId="1" fillId="15" borderId="0" xfId="0" applyFont="1" applyFill="1"/>
    <xf numFmtId="0" fontId="1" fillId="15" borderId="0" xfId="0" applyFont="1" applyFill="1" applyAlignment="1">
      <alignment/>
    </xf>
    <xf numFmtId="0" fontId="21" fillId="15" borderId="0" xfId="0" applyFont="1" applyFill="1"/>
    <xf numFmtId="0" fontId="113" fillId="0" borderId="0" xfId="22" applyFont="1">
      <alignment/>
      <protection/>
    </xf>
    <xf numFmtId="0" fontId="114" fillId="0" borderId="0" xfId="22" applyFont="1" applyAlignment="1">
      <alignment horizontal="centerContinuous"/>
      <protection/>
    </xf>
    <xf numFmtId="0" fontId="113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Fill="1" applyAlignment="1">
      <alignment horizontal="centerContinuous"/>
    </xf>
    <xf numFmtId="0" fontId="112" fillId="0" borderId="0" xfId="22" applyFont="1">
      <alignment/>
      <protection/>
    </xf>
    <xf numFmtId="0" fontId="116" fillId="0" borderId="0" xfId="0" applyFont="1" applyAlignment="1">
      <alignment horizontal="centerContinuous"/>
    </xf>
    <xf numFmtId="49" fontId="9" fillId="14" borderId="53" xfId="22" applyNumberFormat="1" applyFont="1" applyFill="1" applyBorder="1" applyAlignment="1">
      <alignment horizontal="left" vertical="top"/>
      <protection/>
    </xf>
    <xf numFmtId="0" fontId="9" fillId="14" borderId="53" xfId="22" applyFont="1" applyFill="1" applyBorder="1" applyAlignment="1">
      <alignment vertical="top" wrapText="1"/>
      <protection/>
    </xf>
    <xf numFmtId="49" fontId="9" fillId="14" borderId="53" xfId="22" applyNumberFormat="1" applyFont="1" applyFill="1" applyBorder="1" applyAlignment="1">
      <alignment horizontal="center" shrinkToFit="1"/>
      <protection/>
    </xf>
    <xf numFmtId="4" fontId="9" fillId="14" borderId="53" xfId="22" applyNumberFormat="1" applyFont="1" applyFill="1" applyBorder="1">
      <alignment/>
      <protection/>
    </xf>
    <xf numFmtId="49" fontId="4" fillId="14" borderId="27" xfId="22" applyNumberFormat="1" applyFont="1" applyFill="1" applyBorder="1" applyAlignment="1">
      <alignment horizontal="right"/>
      <protection/>
    </xf>
    <xf numFmtId="4" fontId="9" fillId="14" borderId="54" xfId="22" applyNumberFormat="1" applyFont="1" applyFill="1" applyBorder="1" applyAlignment="1">
      <alignment horizontal="right" wrapText="1"/>
      <protection/>
    </xf>
    <xf numFmtId="0" fontId="9" fillId="14" borderId="4" xfId="22" applyFont="1" applyFill="1" applyBorder="1" applyAlignment="1">
      <alignment horizontal="left" wrapText="1"/>
      <protection/>
    </xf>
    <xf numFmtId="0" fontId="9" fillId="14" borderId="5" xfId="0" applyFont="1" applyFill="1" applyBorder="1" applyAlignment="1">
      <alignment horizontal="right"/>
    </xf>
    <xf numFmtId="49" fontId="8" fillId="14" borderId="12" xfId="22" applyNumberFormat="1" applyFont="1" applyFill="1" applyBorder="1" applyAlignment="1">
      <alignment horizontal="left"/>
      <protection/>
    </xf>
    <xf numFmtId="0" fontId="8" fillId="14" borderId="1" xfId="22" applyFont="1" applyFill="1" applyBorder="1">
      <alignment/>
      <protection/>
    </xf>
    <xf numFmtId="0" fontId="1" fillId="14" borderId="2" xfId="22" applyFont="1" applyFill="1" applyBorder="1" applyAlignment="1">
      <alignment horizontal="center"/>
      <protection/>
    </xf>
    <xf numFmtId="4" fontId="1" fillId="14" borderId="2" xfId="22" applyNumberFormat="1" applyFont="1" applyFill="1" applyBorder="1" applyAlignment="1">
      <alignment horizontal="right"/>
      <protection/>
    </xf>
    <xf numFmtId="4" fontId="1" fillId="14" borderId="3" xfId="22" applyNumberFormat="1" applyFont="1" applyFill="1" applyBorder="1" applyAlignment="1">
      <alignment horizontal="right"/>
      <protection/>
    </xf>
    <xf numFmtId="4" fontId="8" fillId="14" borderId="12" xfId="22" applyNumberFormat="1" applyFont="1" applyFill="1" applyBorder="1">
      <alignment/>
      <protection/>
    </xf>
    <xf numFmtId="3" fontId="1" fillId="0" borderId="28" xfId="0" applyNumberFormat="1" applyFont="1" applyFill="1" applyBorder="1"/>
    <xf numFmtId="3" fontId="1" fillId="0" borderId="5" xfId="0" applyNumberFormat="1" applyFont="1" applyFill="1" applyBorder="1"/>
    <xf numFmtId="3" fontId="1" fillId="0" borderId="27" xfId="0" applyNumberFormat="1" applyFont="1" applyFill="1" applyBorder="1"/>
    <xf numFmtId="3" fontId="1" fillId="0" borderId="26" xfId="0" applyNumberFormat="1" applyFont="1" applyFill="1" applyBorder="1"/>
    <xf numFmtId="0" fontId="8" fillId="0" borderId="24" xfId="0" applyFont="1" applyFill="1" applyBorder="1"/>
    <xf numFmtId="3" fontId="8" fillId="0" borderId="23" xfId="0" applyNumberFormat="1" applyFont="1" applyFill="1" applyBorder="1"/>
    <xf numFmtId="3" fontId="8" fillId="0" borderId="22" xfId="0" applyNumberFormat="1" applyFont="1" applyFill="1" applyBorder="1"/>
    <xf numFmtId="3" fontId="8" fillId="0" borderId="21" xfId="0" applyNumberFormat="1" applyFont="1" applyFill="1" applyBorder="1"/>
    <xf numFmtId="3" fontId="8" fillId="0" borderId="20" xfId="0" applyNumberFormat="1" applyFont="1" applyFill="1" applyBorder="1"/>
    <xf numFmtId="3" fontId="1" fillId="0" borderId="13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4" fontId="1" fillId="0" borderId="7" xfId="0" applyNumberFormat="1" applyFont="1" applyFill="1" applyBorder="1"/>
    <xf numFmtId="4" fontId="1" fillId="0" borderId="6" xfId="0" applyNumberFormat="1" applyFont="1" applyFill="1" applyBorder="1"/>
    <xf numFmtId="3" fontId="117" fillId="15" borderId="3" xfId="0" applyNumberFormat="1" applyFont="1" applyFill="1" applyBorder="1" applyAlignment="1">
      <alignment horizontal="right"/>
    </xf>
    <xf numFmtId="164" fontId="5" fillId="15" borderId="3" xfId="0" applyNumberFormat="1" applyFont="1" applyFill="1" applyBorder="1"/>
    <xf numFmtId="3" fontId="5" fillId="15" borderId="3" xfId="0" applyNumberFormat="1" applyFont="1" applyFill="1" applyBorder="1" applyAlignment="1">
      <alignment horizontal="right"/>
    </xf>
    <xf numFmtId="3" fontId="5" fillId="15" borderId="5" xfId="0" applyNumberFormat="1" applyFont="1" applyFill="1" applyBorder="1" applyAlignment="1">
      <alignment horizontal="right"/>
    </xf>
    <xf numFmtId="3" fontId="5" fillId="15" borderId="1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3" fillId="0" borderId="0" xfId="0" applyFont="1"/>
    <xf numFmtId="0" fontId="21" fillId="0" borderId="0" xfId="0" applyFont="1" applyFill="1"/>
    <xf numFmtId="0" fontId="1" fillId="0" borderId="0" xfId="0" applyFont="1" applyFill="1" applyAlignment="1">
      <alignment/>
    </xf>
    <xf numFmtId="0" fontId="87" fillId="9" borderId="5" xfId="0" applyNumberFormat="1" applyFont="1" applyFill="1" applyBorder="1" applyAlignment="1">
      <alignment vertical="center"/>
    </xf>
    <xf numFmtId="165" fontId="118" fillId="15" borderId="37" xfId="0" applyNumberFormat="1" applyFont="1" applyFill="1" applyBorder="1" applyAlignment="1">
      <alignment horizontal="right"/>
    </xf>
    <xf numFmtId="0" fontId="118" fillId="15" borderId="35" xfId="0" applyFont="1" applyFill="1" applyBorder="1"/>
    <xf numFmtId="0" fontId="118" fillId="15" borderId="37" xfId="0" applyFont="1" applyFill="1" applyBorder="1"/>
    <xf numFmtId="165" fontId="118" fillId="15" borderId="3" xfId="0" applyNumberFormat="1" applyFont="1" applyFill="1" applyBorder="1" applyAlignment="1">
      <alignment horizontal="right"/>
    </xf>
    <xf numFmtId="0" fontId="118" fillId="15" borderId="3" xfId="0" applyFont="1" applyFill="1" applyBorder="1"/>
    <xf numFmtId="0" fontId="119" fillId="15" borderId="0" xfId="0" applyFont="1" applyFill="1" applyBorder="1"/>
    <xf numFmtId="0" fontId="120" fillId="15" borderId="0" xfId="0" applyFont="1" applyFill="1" applyBorder="1"/>
    <xf numFmtId="3" fontId="120" fillId="15" borderId="28" xfId="0" applyNumberFormat="1" applyFont="1" applyFill="1" applyBorder="1"/>
    <xf numFmtId="3" fontId="120" fillId="15" borderId="5" xfId="0" applyNumberFormat="1" applyFont="1" applyFill="1" applyBorder="1"/>
    <xf numFmtId="3" fontId="120" fillId="15" borderId="27" xfId="0" applyNumberFormat="1" applyFont="1" applyFill="1" applyBorder="1"/>
    <xf numFmtId="3" fontId="120" fillId="15" borderId="26" xfId="0" applyNumberFormat="1" applyFont="1" applyFill="1" applyBorder="1"/>
    <xf numFmtId="0" fontId="121" fillId="15" borderId="24" xfId="0" applyFont="1" applyFill="1" applyBorder="1"/>
    <xf numFmtId="3" fontId="121" fillId="15" borderId="23" xfId="0" applyNumberFormat="1" applyFont="1" applyFill="1" applyBorder="1"/>
    <xf numFmtId="3" fontId="121" fillId="15" borderId="22" xfId="0" applyNumberFormat="1" applyFont="1" applyFill="1" applyBorder="1"/>
    <xf numFmtId="3" fontId="121" fillId="15" borderId="21" xfId="0" applyNumberFormat="1" applyFont="1" applyFill="1" applyBorder="1"/>
    <xf numFmtId="3" fontId="121" fillId="15" borderId="20" xfId="0" applyNumberFormat="1" applyFont="1" applyFill="1" applyBorder="1"/>
    <xf numFmtId="3" fontId="120" fillId="15" borderId="13" xfId="0" applyNumberFormat="1" applyFont="1" applyFill="1" applyBorder="1" applyAlignment="1">
      <alignment horizontal="right"/>
    </xf>
    <xf numFmtId="165" fontId="120" fillId="15" borderId="12" xfId="0" applyNumberFormat="1" applyFont="1" applyFill="1" applyBorder="1" applyAlignment="1">
      <alignment horizontal="right"/>
    </xf>
    <xf numFmtId="3" fontId="120" fillId="15" borderId="11" xfId="0" applyNumberFormat="1" applyFont="1" applyFill="1" applyBorder="1" applyAlignment="1">
      <alignment horizontal="right"/>
    </xf>
    <xf numFmtId="4" fontId="120" fillId="15" borderId="10" xfId="0" applyNumberFormat="1" applyFont="1" applyFill="1" applyBorder="1" applyAlignment="1">
      <alignment horizontal="right"/>
    </xf>
    <xf numFmtId="3" fontId="120" fillId="15" borderId="9" xfId="0" applyNumberFormat="1" applyFont="1" applyFill="1" applyBorder="1" applyAlignment="1">
      <alignment horizontal="right"/>
    </xf>
    <xf numFmtId="4" fontId="120" fillId="15" borderId="7" xfId="0" applyNumberFormat="1" applyFont="1" applyFill="1" applyBorder="1"/>
    <xf numFmtId="4" fontId="120" fillId="15" borderId="6" xfId="0" applyNumberFormat="1" applyFont="1" applyFill="1" applyBorder="1"/>
    <xf numFmtId="3" fontId="122" fillId="15" borderId="3" xfId="0" applyNumberFormat="1" applyFont="1" applyFill="1" applyBorder="1" applyAlignment="1">
      <alignment horizontal="right"/>
    </xf>
    <xf numFmtId="49" fontId="121" fillId="15" borderId="27" xfId="22" applyNumberFormat="1" applyFont="1" applyFill="1" applyBorder="1" applyAlignment="1">
      <alignment horizontal="left"/>
      <protection/>
    </xf>
    <xf numFmtId="0" fontId="121" fillId="15" borderId="1" xfId="22" applyFont="1" applyFill="1" applyBorder="1">
      <alignment/>
      <protection/>
    </xf>
    <xf numFmtId="0" fontId="120" fillId="15" borderId="2" xfId="22" applyFont="1" applyFill="1" applyBorder="1" applyAlignment="1">
      <alignment horizontal="center"/>
      <protection/>
    </xf>
    <xf numFmtId="0" fontId="120" fillId="15" borderId="2" xfId="22" applyNumberFormat="1" applyFont="1" applyFill="1" applyBorder="1" applyAlignment="1">
      <alignment horizontal="right"/>
      <protection/>
    </xf>
    <xf numFmtId="0" fontId="120" fillId="15" borderId="3" xfId="22" applyNumberFormat="1" applyFont="1" applyFill="1" applyBorder="1">
      <alignment/>
      <protection/>
    </xf>
    <xf numFmtId="49" fontId="123" fillId="15" borderId="53" xfId="22" applyNumberFormat="1" applyFont="1" applyFill="1" applyBorder="1" applyAlignment="1">
      <alignment horizontal="left" vertical="top"/>
      <protection/>
    </xf>
    <xf numFmtId="0" fontId="123" fillId="15" borderId="53" xfId="22" applyFont="1" applyFill="1" applyBorder="1" applyAlignment="1">
      <alignment vertical="top" wrapText="1"/>
      <protection/>
    </xf>
    <xf numFmtId="49" fontId="123" fillId="15" borderId="53" xfId="22" applyNumberFormat="1" applyFont="1" applyFill="1" applyBorder="1" applyAlignment="1">
      <alignment horizontal="center" shrinkToFit="1"/>
      <protection/>
    </xf>
    <xf numFmtId="4" fontId="123" fillId="15" borderId="53" xfId="22" applyNumberFormat="1" applyFont="1" applyFill="1" applyBorder="1" applyAlignment="1">
      <alignment horizontal="right"/>
      <protection/>
    </xf>
    <xf numFmtId="4" fontId="123" fillId="15" borderId="53" xfId="22" applyNumberFormat="1" applyFont="1" applyFill="1" applyBorder="1">
      <alignment/>
      <protection/>
    </xf>
    <xf numFmtId="49" fontId="119" fillId="15" borderId="27" xfId="22" applyNumberFormat="1" applyFont="1" applyFill="1" applyBorder="1" applyAlignment="1">
      <alignment horizontal="right"/>
      <protection/>
    </xf>
    <xf numFmtId="4" fontId="124" fillId="16" borderId="54" xfId="22" applyNumberFormat="1" applyFont="1" applyFill="1" applyBorder="1" applyAlignment="1">
      <alignment horizontal="right" wrapText="1"/>
      <protection/>
    </xf>
    <xf numFmtId="0" fontId="124" fillId="16" borderId="4" xfId="22" applyFont="1" applyFill="1" applyBorder="1" applyAlignment="1">
      <alignment horizontal="left" wrapText="1"/>
      <protection/>
    </xf>
    <xf numFmtId="0" fontId="124" fillId="15" borderId="5" xfId="0" applyFont="1" applyFill="1" applyBorder="1" applyAlignment="1">
      <alignment horizontal="right"/>
    </xf>
    <xf numFmtId="49" fontId="121" fillId="15" borderId="12" xfId="22" applyNumberFormat="1" applyFont="1" applyFill="1" applyBorder="1" applyAlignment="1">
      <alignment horizontal="left"/>
      <protection/>
    </xf>
    <xf numFmtId="4" fontId="120" fillId="15" borderId="2" xfId="22" applyNumberFormat="1" applyFont="1" applyFill="1" applyBorder="1" applyAlignment="1">
      <alignment horizontal="right"/>
      <protection/>
    </xf>
    <xf numFmtId="4" fontId="120" fillId="15" borderId="3" xfId="22" applyNumberFormat="1" applyFont="1" applyFill="1" applyBorder="1" applyAlignment="1">
      <alignment horizontal="right"/>
      <protection/>
    </xf>
    <xf numFmtId="4" fontId="121" fillId="15" borderId="12" xfId="22" applyNumberFormat="1" applyFont="1" applyFill="1" applyBorder="1">
      <alignment/>
      <protection/>
    </xf>
    <xf numFmtId="4" fontId="123" fillId="16" borderId="54" xfId="22" applyNumberFormat="1" applyFont="1" applyFill="1" applyBorder="1" applyAlignment="1">
      <alignment horizontal="right" wrapText="1"/>
      <protection/>
    </xf>
    <xf numFmtId="0" fontId="123" fillId="16" borderId="4" xfId="22" applyFont="1" applyFill="1" applyBorder="1" applyAlignment="1">
      <alignment horizontal="left" wrapText="1"/>
      <protection/>
    </xf>
    <xf numFmtId="0" fontId="123" fillId="15" borderId="5" xfId="0" applyFont="1" applyFill="1" applyBorder="1" applyAlignment="1">
      <alignment horizontal="right"/>
    </xf>
    <xf numFmtId="0" fontId="126" fillId="15" borderId="0" xfId="24" applyFont="1" applyFill="1" applyAlignment="1">
      <alignment wrapText="1"/>
      <protection/>
    </xf>
    <xf numFmtId="0" fontId="126" fillId="15" borderId="0" xfId="24" applyFont="1" applyFill="1" applyBorder="1">
      <alignment/>
      <protection/>
    </xf>
    <xf numFmtId="4" fontId="126" fillId="15" borderId="0" xfId="24" applyNumberFormat="1" applyFont="1" applyFill="1" applyBorder="1" applyAlignment="1">
      <alignment wrapText="1"/>
      <protection/>
    </xf>
    <xf numFmtId="3" fontId="126" fillId="15" borderId="0" xfId="24" applyNumberFormat="1" applyFont="1" applyFill="1" applyAlignment="1">
      <alignment vertical="top" wrapText="1"/>
      <protection/>
    </xf>
    <xf numFmtId="0" fontId="127" fillId="15" borderId="0" xfId="0" applyFont="1" applyFill="1" applyBorder="1" applyAlignment="1">
      <alignment wrapText="1"/>
    </xf>
    <xf numFmtId="0" fontId="127" fillId="15" borderId="0" xfId="0" applyFont="1" applyFill="1" applyBorder="1" applyAlignment="1">
      <alignment horizontal="right"/>
    </xf>
    <xf numFmtId="167" fontId="127" fillId="15" borderId="0" xfId="0" applyNumberFormat="1" applyFont="1" applyFill="1" applyAlignment="1">
      <alignment horizontal="right"/>
    </xf>
    <xf numFmtId="0" fontId="127" fillId="15" borderId="0" xfId="0" applyFont="1" applyFill="1"/>
    <xf numFmtId="0" fontId="127" fillId="15" borderId="0" xfId="0" applyFont="1" applyFill="1" applyBorder="1"/>
    <xf numFmtId="0" fontId="128" fillId="15" borderId="19" xfId="0" applyFont="1" applyFill="1" applyBorder="1" applyAlignment="1">
      <alignment horizontal="left"/>
    </xf>
    <xf numFmtId="0" fontId="129" fillId="15" borderId="17" xfId="0" applyFont="1" applyFill="1" applyBorder="1" applyAlignment="1">
      <alignment horizontal="centerContinuous"/>
    </xf>
    <xf numFmtId="49" fontId="130" fillId="15" borderId="16" xfId="0" applyNumberFormat="1" applyFont="1" applyFill="1" applyBorder="1" applyAlignment="1">
      <alignment horizontal="left"/>
    </xf>
    <xf numFmtId="49" fontId="129" fillId="15" borderId="17" xfId="0" applyNumberFormat="1" applyFont="1" applyFill="1" applyBorder="1" applyAlignment="1">
      <alignment horizontal="centerContinuous"/>
    </xf>
    <xf numFmtId="0" fontId="129" fillId="15" borderId="47" xfId="0" applyFont="1" applyFill="1" applyBorder="1" applyAlignment="1">
      <alignment/>
    </xf>
    <xf numFmtId="49" fontId="129" fillId="15" borderId="40" xfId="0" applyNumberFormat="1" applyFont="1" applyFill="1" applyBorder="1" applyAlignment="1">
      <alignment horizontal="left"/>
    </xf>
    <xf numFmtId="0" fontId="131" fillId="15" borderId="42" xfId="0" applyFont="1" applyFill="1" applyBorder="1" applyAlignment="1">
      <alignment/>
    </xf>
    <xf numFmtId="0" fontId="129" fillId="15" borderId="3" xfId="0" applyFont="1" applyFill="1" applyBorder="1" applyAlignment="1">
      <alignment/>
    </xf>
    <xf numFmtId="49" fontId="129" fillId="15" borderId="2" xfId="0" applyNumberFormat="1" applyFont="1" applyFill="1" applyBorder="1" applyAlignment="1">
      <alignment/>
    </xf>
    <xf numFmtId="49" fontId="129" fillId="15" borderId="3" xfId="0" applyNumberFormat="1" applyFont="1" applyFill="1" applyBorder="1" applyAlignment="1">
      <alignment/>
    </xf>
    <xf numFmtId="0" fontId="129" fillId="15" borderId="12" xfId="0" applyFont="1" applyFill="1" applyBorder="1" applyAlignment="1">
      <alignment/>
    </xf>
    <xf numFmtId="0" fontId="129" fillId="15" borderId="50" xfId="0" applyFont="1" applyFill="1" applyBorder="1" applyAlignment="1">
      <alignment horizontal="left"/>
    </xf>
    <xf numFmtId="0" fontId="128" fillId="15" borderId="42" xfId="0" applyFont="1" applyFill="1" applyBorder="1" applyAlignment="1">
      <alignment/>
    </xf>
    <xf numFmtId="49" fontId="129" fillId="15" borderId="50" xfId="0" applyNumberFormat="1" applyFont="1" applyFill="1" applyBorder="1" applyAlignment="1">
      <alignment horizontal="left"/>
    </xf>
    <xf numFmtId="49" fontId="128" fillId="15" borderId="42" xfId="0" applyNumberFormat="1" applyFont="1" applyFill="1" applyBorder="1" applyAlignment="1">
      <alignment/>
    </xf>
    <xf numFmtId="49" fontId="131" fillId="15" borderId="3" xfId="0" applyNumberFormat="1" applyFont="1" applyFill="1" applyBorder="1" applyAlignment="1">
      <alignment/>
    </xf>
    <xf numFmtId="49" fontId="128" fillId="15" borderId="2" xfId="0" applyNumberFormat="1" applyFont="1" applyFill="1" applyBorder="1" applyAlignment="1">
      <alignment/>
    </xf>
    <xf numFmtId="49" fontId="131" fillId="15" borderId="2" xfId="0" applyNumberFormat="1" applyFont="1" applyFill="1" applyBorder="1" applyAlignment="1">
      <alignment/>
    </xf>
    <xf numFmtId="3" fontId="129" fillId="15" borderId="50" xfId="0" applyNumberFormat="1" applyFont="1" applyFill="1" applyBorder="1" applyAlignment="1">
      <alignment horizontal="left"/>
    </xf>
    <xf numFmtId="49" fontId="128" fillId="15" borderId="29" xfId="0" applyNumberFormat="1" applyFont="1" applyFill="1" applyBorder="1" applyAlignment="1">
      <alignment/>
    </xf>
    <xf numFmtId="49" fontId="131" fillId="15" borderId="5" xfId="0" applyNumberFormat="1" applyFont="1" applyFill="1" applyBorder="1" applyAlignment="1">
      <alignment/>
    </xf>
    <xf numFmtId="49" fontId="128" fillId="15" borderId="0" xfId="0" applyNumberFormat="1" applyFont="1" applyFill="1" applyBorder="1" applyAlignment="1">
      <alignment/>
    </xf>
    <xf numFmtId="49" fontId="131" fillId="15" borderId="0" xfId="0" applyNumberFormat="1" applyFont="1" applyFill="1" applyBorder="1" applyAlignment="1">
      <alignment/>
    </xf>
    <xf numFmtId="49" fontId="129" fillId="15" borderId="12" xfId="0" applyNumberFormat="1" applyFont="1" applyFill="1" applyBorder="1" applyAlignment="1">
      <alignment horizontal="left"/>
    </xf>
    <xf numFmtId="0" fontId="129" fillId="15" borderId="49" xfId="0" applyFont="1" applyFill="1" applyBorder="1" applyAlignment="1">
      <alignment/>
    </xf>
    <xf numFmtId="0" fontId="129" fillId="15" borderId="12" xfId="0" applyNumberFormat="1" applyFont="1" applyFill="1" applyBorder="1" applyAlignment="1">
      <alignment/>
    </xf>
    <xf numFmtId="0" fontId="129" fillId="15" borderId="48" xfId="0" applyNumberFormat="1" applyFont="1" applyFill="1" applyBorder="1" applyAlignment="1">
      <alignment horizontal="left"/>
    </xf>
    <xf numFmtId="0" fontId="129" fillId="15" borderId="48" xfId="0" applyFont="1" applyFill="1" applyBorder="1" applyAlignment="1">
      <alignment horizontal="left"/>
    </xf>
    <xf numFmtId="0" fontId="129" fillId="15" borderId="48" xfId="0" applyFont="1" applyFill="1" applyBorder="1" applyAlignment="1">
      <alignment/>
    </xf>
    <xf numFmtId="0" fontId="129" fillId="15" borderId="42" xfId="0" applyFont="1" applyFill="1" applyBorder="1" applyAlignment="1">
      <alignment/>
    </xf>
    <xf numFmtId="0" fontId="129" fillId="15" borderId="47" xfId="0" applyFont="1" applyFill="1" applyBorder="1" applyAlignment="1">
      <alignment horizontal="left"/>
    </xf>
    <xf numFmtId="0" fontId="129" fillId="15" borderId="9" xfId="0" applyFont="1" applyFill="1" applyBorder="1" applyAlignment="1">
      <alignment horizontal="left"/>
    </xf>
    <xf numFmtId="0" fontId="132" fillId="15" borderId="46" xfId="0" applyFont="1" applyFill="1" applyBorder="1" applyAlignment="1">
      <alignment horizontal="centerContinuous" vertical="center"/>
    </xf>
    <xf numFmtId="0" fontId="133" fillId="15" borderId="45" xfId="0" applyFont="1" applyFill="1" applyBorder="1" applyAlignment="1">
      <alignment horizontal="centerContinuous" vertical="center"/>
    </xf>
    <xf numFmtId="0" fontId="131" fillId="15" borderId="45" xfId="0" applyFont="1" applyFill="1" applyBorder="1" applyAlignment="1">
      <alignment horizontal="centerContinuous" vertical="center"/>
    </xf>
    <xf numFmtId="0" fontId="131" fillId="15" borderId="44" xfId="0" applyFont="1" applyFill="1" applyBorder="1" applyAlignment="1">
      <alignment horizontal="centerContinuous" vertical="center"/>
    </xf>
    <xf numFmtId="0" fontId="128" fillId="15" borderId="25" xfId="0" applyFont="1" applyFill="1" applyBorder="1" applyAlignment="1">
      <alignment horizontal="left"/>
    </xf>
    <xf numFmtId="0" fontId="131" fillId="15" borderId="24" xfId="0" applyFont="1" applyFill="1" applyBorder="1" applyAlignment="1">
      <alignment horizontal="left"/>
    </xf>
    <xf numFmtId="0" fontId="131" fillId="15" borderId="23" xfId="0" applyFont="1" applyFill="1" applyBorder="1" applyAlignment="1">
      <alignment horizontal="centerContinuous"/>
    </xf>
    <xf numFmtId="0" fontId="128" fillId="15" borderId="24" xfId="0" applyFont="1" applyFill="1" applyBorder="1" applyAlignment="1">
      <alignment horizontal="centerContinuous"/>
    </xf>
    <xf numFmtId="0" fontId="131" fillId="15" borderId="24" xfId="0" applyFont="1" applyFill="1" applyBorder="1" applyAlignment="1">
      <alignment horizontal="centerContinuous"/>
    </xf>
    <xf numFmtId="0" fontId="131" fillId="15" borderId="43" xfId="0" applyFont="1" applyFill="1" applyBorder="1" applyAlignment="1">
      <alignment/>
    </xf>
    <xf numFmtId="0" fontId="131" fillId="15" borderId="10" xfId="0" applyFont="1" applyFill="1" applyBorder="1" applyAlignment="1">
      <alignment/>
    </xf>
    <xf numFmtId="3" fontId="131" fillId="15" borderId="40" xfId="0" applyNumberFormat="1" applyFont="1" applyFill="1" applyBorder="1" applyAlignment="1">
      <alignment/>
    </xf>
    <xf numFmtId="0" fontId="131" fillId="15" borderId="19" xfId="0" applyFont="1" applyFill="1" applyBorder="1" applyAlignment="1">
      <alignment/>
    </xf>
    <xf numFmtId="3" fontId="131" fillId="15" borderId="16" xfId="0" applyNumberFormat="1" applyFont="1" applyFill="1" applyBorder="1" applyAlignment="1">
      <alignment/>
    </xf>
    <xf numFmtId="0" fontId="131" fillId="15" borderId="17" xfId="0" applyFont="1" applyFill="1" applyBorder="1" applyAlignment="1">
      <alignment/>
    </xf>
    <xf numFmtId="3" fontId="131" fillId="15" borderId="2" xfId="0" applyNumberFormat="1" applyFont="1" applyFill="1" applyBorder="1" applyAlignment="1">
      <alignment/>
    </xf>
    <xf numFmtId="0" fontId="131" fillId="15" borderId="3" xfId="0" applyFont="1" applyFill="1" applyBorder="1" applyAlignment="1">
      <alignment/>
    </xf>
    <xf numFmtId="0" fontId="131" fillId="15" borderId="13" xfId="0" applyFont="1" applyFill="1" applyBorder="1" applyAlignment="1">
      <alignment/>
    </xf>
    <xf numFmtId="0" fontId="131" fillId="15" borderId="10" xfId="0" applyFont="1" applyFill="1" applyBorder="1" applyAlignment="1">
      <alignment shrinkToFit="1"/>
    </xf>
    <xf numFmtId="0" fontId="131" fillId="15" borderId="14" xfId="0" applyFont="1" applyFill="1" applyBorder="1" applyAlignment="1">
      <alignment/>
    </xf>
    <xf numFmtId="0" fontId="131" fillId="15" borderId="29" xfId="0" applyFont="1" applyFill="1" applyBorder="1" applyAlignment="1">
      <alignment/>
    </xf>
    <xf numFmtId="0" fontId="131" fillId="15" borderId="0" xfId="0" applyFont="1" applyFill="1" applyBorder="1" applyAlignment="1">
      <alignment/>
    </xf>
    <xf numFmtId="3" fontId="131" fillId="15" borderId="41" xfId="0" applyNumberFormat="1" applyFont="1" applyFill="1" applyBorder="1" applyAlignment="1">
      <alignment/>
    </xf>
    <xf numFmtId="0" fontId="131" fillId="15" borderId="7" xfId="0" applyFont="1" applyFill="1" applyBorder="1" applyAlignment="1">
      <alignment/>
    </xf>
    <xf numFmtId="3" fontId="131" fillId="15" borderId="6" xfId="0" applyNumberFormat="1" applyFont="1" applyFill="1" applyBorder="1" applyAlignment="1">
      <alignment/>
    </xf>
    <xf numFmtId="0" fontId="131" fillId="15" borderId="34" xfId="0" applyFont="1" applyFill="1" applyBorder="1" applyAlignment="1">
      <alignment/>
    </xf>
    <xf numFmtId="0" fontId="128" fillId="15" borderId="19" xfId="0" applyFont="1" applyFill="1" applyBorder="1" applyAlignment="1">
      <alignment/>
    </xf>
    <xf numFmtId="0" fontId="128" fillId="15" borderId="16" xfId="0" applyFont="1" applyFill="1" applyBorder="1" applyAlignment="1">
      <alignment/>
    </xf>
    <xf numFmtId="0" fontId="128" fillId="15" borderId="17" xfId="0" applyFont="1" applyFill="1" applyBorder="1" applyAlignment="1">
      <alignment/>
    </xf>
    <xf numFmtId="0" fontId="128" fillId="15" borderId="39" xfId="0" applyFont="1" applyFill="1" applyBorder="1" applyAlignment="1">
      <alignment/>
    </xf>
    <xf numFmtId="0" fontId="128" fillId="15" borderId="15" xfId="0" applyFont="1" applyFill="1" applyBorder="1" applyAlignment="1">
      <alignment/>
    </xf>
    <xf numFmtId="0" fontId="131" fillId="15" borderId="5" xfId="0" applyFont="1" applyFill="1" applyBorder="1" applyAlignment="1">
      <alignment/>
    </xf>
    <xf numFmtId="0" fontId="131" fillId="15" borderId="0" xfId="0" applyFont="1" applyFill="1" applyAlignment="1">
      <alignment/>
    </xf>
    <xf numFmtId="0" fontId="131" fillId="15" borderId="4" xfId="0" applyFont="1" applyFill="1" applyBorder="1" applyAlignment="1">
      <alignment/>
    </xf>
    <xf numFmtId="0" fontId="131" fillId="15" borderId="28" xfId="0" applyFont="1" applyFill="1" applyBorder="1" applyAlignment="1">
      <alignment/>
    </xf>
    <xf numFmtId="0" fontId="131" fillId="15" borderId="0" xfId="0" applyFont="1" applyFill="1" applyBorder="1" applyAlignment="1">
      <alignment horizontal="right"/>
    </xf>
    <xf numFmtId="166" fontId="131" fillId="15" borderId="0" xfId="0" applyNumberFormat="1" applyFont="1" applyFill="1" applyBorder="1" applyAlignment="1">
      <alignment/>
    </xf>
    <xf numFmtId="0" fontId="131" fillId="15" borderId="11" xfId="0" applyFont="1" applyFill="1" applyBorder="1" applyAlignment="1">
      <alignment/>
    </xf>
    <xf numFmtId="0" fontId="131" fillId="15" borderId="38" xfId="0" applyFont="1" applyFill="1" applyBorder="1" applyAlignment="1">
      <alignment/>
    </xf>
    <xf numFmtId="0" fontId="131" fillId="15" borderId="36" xfId="0" applyFont="1" applyFill="1" applyBorder="1" applyAlignment="1">
      <alignment/>
    </xf>
    <xf numFmtId="0" fontId="131" fillId="15" borderId="35" xfId="0" applyFont="1" applyFill="1" applyBorder="1" applyAlignment="1">
      <alignment/>
    </xf>
    <xf numFmtId="165" fontId="131" fillId="15" borderId="37" xfId="0" applyNumberFormat="1" applyFont="1" applyFill="1" applyBorder="1" applyAlignment="1">
      <alignment horizontal="right"/>
    </xf>
    <xf numFmtId="0" fontId="131" fillId="15" borderId="37" xfId="0" applyFont="1" applyFill="1" applyBorder="1" applyAlignment="1">
      <alignment/>
    </xf>
    <xf numFmtId="0" fontId="131" fillId="15" borderId="2" xfId="0" applyFont="1" applyFill="1" applyBorder="1" applyAlignment="1">
      <alignment/>
    </xf>
    <xf numFmtId="165" fontId="131" fillId="15" borderId="3" xfId="0" applyNumberFormat="1" applyFont="1" applyFill="1" applyBorder="1" applyAlignment="1">
      <alignment horizontal="right"/>
    </xf>
    <xf numFmtId="0" fontId="133" fillId="15" borderId="7" xfId="0" applyFont="1" applyFill="1" applyBorder="1" applyAlignment="1">
      <alignment/>
    </xf>
    <xf numFmtId="0" fontId="133" fillId="15" borderId="6" xfId="0" applyFont="1" applyFill="1" applyBorder="1" applyAlignment="1">
      <alignment/>
    </xf>
    <xf numFmtId="0" fontId="133" fillId="15" borderId="34" xfId="0" applyFont="1" applyFill="1" applyBorder="1" applyAlignment="1">
      <alignment/>
    </xf>
    <xf numFmtId="49" fontId="128" fillId="15" borderId="25" xfId="0" applyNumberFormat="1" applyFont="1" applyFill="1" applyBorder="1" applyAlignment="1">
      <alignment horizontal="center"/>
    </xf>
    <xf numFmtId="0" fontId="128" fillId="15" borderId="24" xfId="0" applyFont="1" applyFill="1" applyBorder="1" applyAlignment="1">
      <alignment horizontal="center"/>
    </xf>
    <xf numFmtId="0" fontId="128" fillId="15" borderId="23" xfId="0" applyFont="1" applyFill="1" applyBorder="1" applyAlignment="1">
      <alignment horizontal="center"/>
    </xf>
    <xf numFmtId="0" fontId="128" fillId="15" borderId="22" xfId="0" applyFont="1" applyFill="1" applyBorder="1" applyAlignment="1">
      <alignment horizontal="center"/>
    </xf>
    <xf numFmtId="0" fontId="128" fillId="15" borderId="21" xfId="0" applyFont="1" applyFill="1" applyBorder="1" applyAlignment="1">
      <alignment horizontal="center"/>
    </xf>
    <xf numFmtId="0" fontId="128" fillId="15" borderId="20" xfId="0" applyFont="1" applyFill="1" applyBorder="1" applyAlignment="1">
      <alignment horizontal="center"/>
    </xf>
    <xf numFmtId="49" fontId="129" fillId="15" borderId="29" xfId="0" applyNumberFormat="1" applyFont="1" applyFill="1" applyBorder="1"/>
    <xf numFmtId="0" fontId="129" fillId="15" borderId="0" xfId="0" applyFont="1" applyFill="1" applyBorder="1"/>
    <xf numFmtId="0" fontId="131" fillId="15" borderId="0" xfId="0" applyFont="1" applyFill="1" applyBorder="1"/>
    <xf numFmtId="3" fontId="131" fillId="15" borderId="28" xfId="0" applyNumberFormat="1" applyFont="1" applyFill="1" applyBorder="1"/>
    <xf numFmtId="3" fontId="131" fillId="15" borderId="5" xfId="0" applyNumberFormat="1" applyFont="1" applyFill="1" applyBorder="1"/>
    <xf numFmtId="3" fontId="131" fillId="15" borderId="27" xfId="0" applyNumberFormat="1" applyFont="1" applyFill="1" applyBorder="1"/>
    <xf numFmtId="3" fontId="131" fillId="15" borderId="26" xfId="0" applyNumberFormat="1" applyFont="1" applyFill="1" applyBorder="1"/>
    <xf numFmtId="0" fontId="128" fillId="15" borderId="25" xfId="0" applyFont="1" applyFill="1" applyBorder="1"/>
    <xf numFmtId="0" fontId="128" fillId="15" borderId="24" xfId="0" applyFont="1" applyFill="1" applyBorder="1"/>
    <xf numFmtId="3" fontId="128" fillId="15" borderId="23" xfId="0" applyNumberFormat="1" applyFont="1" applyFill="1" applyBorder="1"/>
    <xf numFmtId="3" fontId="128" fillId="15" borderId="22" xfId="0" applyNumberFormat="1" applyFont="1" applyFill="1" applyBorder="1"/>
    <xf numFmtId="3" fontId="128" fillId="15" borderId="21" xfId="0" applyNumberFormat="1" applyFont="1" applyFill="1" applyBorder="1"/>
    <xf numFmtId="3" fontId="128" fillId="15" borderId="20" xfId="0" applyNumberFormat="1" applyFont="1" applyFill="1" applyBorder="1"/>
    <xf numFmtId="0" fontId="128" fillId="15" borderId="19" xfId="0" applyFont="1" applyFill="1" applyBorder="1"/>
    <xf numFmtId="0" fontId="128" fillId="15" borderId="16" xfId="0" applyFont="1" applyFill="1" applyBorder="1"/>
    <xf numFmtId="0" fontId="131" fillId="15" borderId="15" xfId="0" applyFont="1" applyFill="1" applyBorder="1"/>
    <xf numFmtId="0" fontId="128" fillId="15" borderId="18" xfId="0" applyFont="1" applyFill="1" applyBorder="1" applyAlignment="1">
      <alignment horizontal="right"/>
    </xf>
    <xf numFmtId="0" fontId="128" fillId="15" borderId="16" xfId="0" applyFont="1" applyFill="1" applyBorder="1" applyAlignment="1">
      <alignment horizontal="right"/>
    </xf>
    <xf numFmtId="0" fontId="128" fillId="15" borderId="17" xfId="0" applyFont="1" applyFill="1" applyBorder="1" applyAlignment="1">
      <alignment horizontal="center"/>
    </xf>
    <xf numFmtId="4" fontId="130" fillId="15" borderId="16" xfId="0" applyNumberFormat="1" applyFont="1" applyFill="1" applyBorder="1" applyAlignment="1">
      <alignment horizontal="right"/>
    </xf>
    <xf numFmtId="4" fontId="130" fillId="15" borderId="15" xfId="0" applyNumberFormat="1" applyFont="1" applyFill="1" applyBorder="1" applyAlignment="1">
      <alignment horizontal="right"/>
    </xf>
    <xf numFmtId="0" fontId="131" fillId="15" borderId="14" xfId="0" applyFont="1" applyFill="1" applyBorder="1"/>
    <xf numFmtId="0" fontId="131" fillId="15" borderId="10" xfId="0" applyFont="1" applyFill="1" applyBorder="1"/>
    <xf numFmtId="0" fontId="131" fillId="15" borderId="9" xfId="0" applyFont="1" applyFill="1" applyBorder="1"/>
    <xf numFmtId="3" fontId="131" fillId="15" borderId="13" xfId="0" applyNumberFormat="1" applyFont="1" applyFill="1" applyBorder="1" applyAlignment="1">
      <alignment horizontal="right"/>
    </xf>
    <xf numFmtId="165" fontId="131" fillId="15" borderId="12" xfId="0" applyNumberFormat="1" applyFont="1" applyFill="1" applyBorder="1" applyAlignment="1">
      <alignment horizontal="right"/>
    </xf>
    <xf numFmtId="3" fontId="131" fillId="15" borderId="11" xfId="0" applyNumberFormat="1" applyFont="1" applyFill="1" applyBorder="1" applyAlignment="1">
      <alignment horizontal="right"/>
    </xf>
    <xf numFmtId="4" fontId="131" fillId="15" borderId="10" xfId="0" applyNumberFormat="1" applyFont="1" applyFill="1" applyBorder="1" applyAlignment="1">
      <alignment horizontal="right"/>
    </xf>
    <xf numFmtId="3" fontId="131" fillId="15" borderId="9" xfId="0" applyNumberFormat="1" applyFont="1" applyFill="1" applyBorder="1" applyAlignment="1">
      <alignment horizontal="right"/>
    </xf>
    <xf numFmtId="0" fontId="131" fillId="15" borderId="7" xfId="0" applyFont="1" applyFill="1" applyBorder="1"/>
    <xf numFmtId="0" fontId="128" fillId="15" borderId="6" xfId="0" applyFont="1" applyFill="1" applyBorder="1"/>
    <xf numFmtId="0" fontId="131" fillId="15" borderId="6" xfId="0" applyFont="1" applyFill="1" applyBorder="1"/>
    <xf numFmtId="4" fontId="131" fillId="15" borderId="8" xfId="0" applyNumberFormat="1" applyFont="1" applyFill="1" applyBorder="1"/>
    <xf numFmtId="4" fontId="131" fillId="15" borderId="7" xfId="0" applyNumberFormat="1" applyFont="1" applyFill="1" applyBorder="1"/>
    <xf numFmtId="4" fontId="131" fillId="15" borderId="6" xfId="0" applyNumberFormat="1" applyFont="1" applyFill="1" applyBorder="1"/>
    <xf numFmtId="49" fontId="129" fillId="15" borderId="12" xfId="22" applyNumberFormat="1" applyFont="1" applyFill="1" applyBorder="1">
      <alignment/>
      <protection/>
    </xf>
    <xf numFmtId="0" fontId="129" fillId="15" borderId="3" xfId="22" applyFont="1" applyFill="1" applyBorder="1" applyAlignment="1">
      <alignment horizontal="center"/>
      <protection/>
    </xf>
    <xf numFmtId="0" fontId="129" fillId="15" borderId="3" xfId="22" applyNumberFormat="1" applyFont="1" applyFill="1" applyBorder="1" applyAlignment="1">
      <alignment horizontal="center"/>
      <protection/>
    </xf>
    <xf numFmtId="0" fontId="129" fillId="15" borderId="12" xfId="22" applyFont="1" applyFill="1" applyBorder="1" applyAlignment="1">
      <alignment horizontal="center"/>
      <protection/>
    </xf>
    <xf numFmtId="0" fontId="128" fillId="15" borderId="27" xfId="22" applyFont="1" applyFill="1" applyBorder="1" applyAlignment="1">
      <alignment horizontal="center"/>
      <protection/>
    </xf>
    <xf numFmtId="49" fontId="128" fillId="15" borderId="27" xfId="22" applyNumberFormat="1" applyFont="1" applyFill="1" applyBorder="1" applyAlignment="1">
      <alignment horizontal="left"/>
      <protection/>
    </xf>
    <xf numFmtId="0" fontId="128" fillId="15" borderId="1" xfId="22" applyFont="1" applyFill="1" applyBorder="1">
      <alignment/>
      <protection/>
    </xf>
    <xf numFmtId="0" fontId="131" fillId="15" borderId="2" xfId="22" applyFont="1" applyFill="1" applyBorder="1" applyAlignment="1">
      <alignment horizontal="center"/>
      <protection/>
    </xf>
    <xf numFmtId="0" fontId="131" fillId="15" borderId="2" xfId="22" applyNumberFormat="1" applyFont="1" applyFill="1" applyBorder="1" applyAlignment="1">
      <alignment horizontal="right"/>
      <protection/>
    </xf>
    <xf numFmtId="0" fontId="131" fillId="15" borderId="3" xfId="22" applyNumberFormat="1" applyFont="1" applyFill="1" applyBorder="1">
      <alignment/>
      <protection/>
    </xf>
    <xf numFmtId="0" fontId="134" fillId="15" borderId="53" xfId="22" applyFont="1" applyFill="1" applyBorder="1" applyAlignment="1">
      <alignment horizontal="center" vertical="top"/>
      <protection/>
    </xf>
    <xf numFmtId="49" fontId="134" fillId="15" borderId="53" xfId="22" applyNumberFormat="1" applyFont="1" applyFill="1" applyBorder="1" applyAlignment="1">
      <alignment horizontal="left" vertical="top"/>
      <protection/>
    </xf>
    <xf numFmtId="0" fontId="134" fillId="15" borderId="53" xfId="22" applyFont="1" applyFill="1" applyBorder="1" applyAlignment="1">
      <alignment vertical="top" wrapText="1"/>
      <protection/>
    </xf>
    <xf numFmtId="49" fontId="134" fillId="15" borderId="53" xfId="22" applyNumberFormat="1" applyFont="1" applyFill="1" applyBorder="1" applyAlignment="1">
      <alignment horizontal="center" shrinkToFit="1"/>
      <protection/>
    </xf>
    <xf numFmtId="4" fontId="134" fillId="15" borderId="53" xfId="22" applyNumberFormat="1" applyFont="1" applyFill="1" applyBorder="1" applyAlignment="1">
      <alignment horizontal="right"/>
      <protection/>
    </xf>
    <xf numFmtId="4" fontId="134" fillId="15" borderId="53" xfId="22" applyNumberFormat="1" applyFont="1" applyFill="1" applyBorder="1">
      <alignment/>
      <protection/>
    </xf>
    <xf numFmtId="0" fontId="129" fillId="15" borderId="27" xfId="22" applyFont="1" applyFill="1" applyBorder="1" applyAlignment="1">
      <alignment horizontal="center"/>
      <protection/>
    </xf>
    <xf numFmtId="49" fontId="129" fillId="15" borderId="27" xfId="22" applyNumberFormat="1" applyFont="1" applyFill="1" applyBorder="1" applyAlignment="1">
      <alignment horizontal="left"/>
      <protection/>
    </xf>
    <xf numFmtId="49" fontId="129" fillId="15" borderId="27" xfId="22" applyNumberFormat="1" applyFont="1" applyFill="1" applyBorder="1" applyAlignment="1">
      <alignment horizontal="right"/>
      <protection/>
    </xf>
    <xf numFmtId="4" fontId="137" fillId="16" borderId="54" xfId="22" applyNumberFormat="1" applyFont="1" applyFill="1" applyBorder="1" applyAlignment="1">
      <alignment horizontal="right" wrapText="1"/>
      <protection/>
    </xf>
    <xf numFmtId="0" fontId="137" fillId="16" borderId="4" xfId="22" applyFont="1" applyFill="1" applyBorder="1" applyAlignment="1">
      <alignment horizontal="left" wrapText="1"/>
      <protection/>
    </xf>
    <xf numFmtId="0" fontId="137" fillId="15" borderId="5" xfId="0" applyFont="1" applyFill="1" applyBorder="1" applyAlignment="1">
      <alignment horizontal="right"/>
    </xf>
    <xf numFmtId="0" fontId="131" fillId="15" borderId="12" xfId="22" applyFont="1" applyFill="1" applyBorder="1" applyAlignment="1">
      <alignment horizontal="center"/>
      <protection/>
    </xf>
    <xf numFmtId="4" fontId="131" fillId="15" borderId="2" xfId="22" applyNumberFormat="1" applyFont="1" applyFill="1" applyBorder="1" applyAlignment="1">
      <alignment horizontal="right"/>
      <protection/>
    </xf>
    <xf numFmtId="4" fontId="131" fillId="15" borderId="3" xfId="22" applyNumberFormat="1" applyFont="1" applyFill="1" applyBorder="1" applyAlignment="1">
      <alignment horizontal="right"/>
      <protection/>
    </xf>
    <xf numFmtId="4" fontId="128" fillId="15" borderId="12" xfId="22" applyNumberFormat="1" applyFont="1" applyFill="1" applyBorder="1">
      <alignment/>
      <protection/>
    </xf>
    <xf numFmtId="4" fontId="135" fillId="16" borderId="54" xfId="22" applyNumberFormat="1" applyFont="1" applyFill="1" applyBorder="1" applyAlignment="1">
      <alignment horizontal="right" wrapText="1"/>
      <protection/>
    </xf>
    <xf numFmtId="0" fontId="134" fillId="15" borderId="53" xfId="23" applyFont="1" applyFill="1" applyBorder="1" applyAlignment="1">
      <alignment horizontal="center" vertical="top"/>
      <protection/>
    </xf>
    <xf numFmtId="49" fontId="134" fillId="15" borderId="53" xfId="23" applyNumberFormat="1" applyFont="1" applyFill="1" applyBorder="1" applyAlignment="1">
      <alignment horizontal="left" vertical="top"/>
      <protection/>
    </xf>
    <xf numFmtId="0" fontId="134" fillId="15" borderId="53" xfId="23" applyFont="1" applyFill="1" applyBorder="1" applyAlignment="1">
      <alignment vertical="top" wrapText="1"/>
      <protection/>
    </xf>
    <xf numFmtId="49" fontId="134" fillId="15" borderId="53" xfId="23" applyNumberFormat="1" applyFont="1" applyFill="1" applyBorder="1" applyAlignment="1">
      <alignment horizontal="center" shrinkToFit="1"/>
      <protection/>
    </xf>
    <xf numFmtId="4" fontId="134" fillId="15" borderId="53" xfId="23" applyNumberFormat="1" applyFont="1" applyFill="1" applyBorder="1" applyAlignment="1">
      <alignment horizontal="right"/>
      <protection/>
    </xf>
    <xf numFmtId="4" fontId="134" fillId="15" borderId="53" xfId="23" applyNumberFormat="1" applyFont="1" applyFill="1" applyBorder="1">
      <alignment/>
      <protection/>
    </xf>
    <xf numFmtId="168" fontId="134" fillId="15" borderId="53" xfId="23" applyNumberFormat="1" applyFont="1" applyFill="1" applyBorder="1">
      <alignment/>
      <protection/>
    </xf>
    <xf numFmtId="4" fontId="134" fillId="15" borderId="37" xfId="23" applyNumberFormat="1" applyFont="1" applyFill="1" applyBorder="1">
      <alignment/>
      <protection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" fontId="1" fillId="0" borderId="35" xfId="0" applyNumberFormat="1" applyFont="1" applyBorder="1" applyAlignment="1">
      <alignment horizontal="right" vertical="center"/>
    </xf>
    <xf numFmtId="4" fontId="1" fillId="0" borderId="37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3" fontId="7" fillId="17" borderId="135" xfId="0" applyNumberFormat="1" applyFont="1" applyFill="1" applyBorder="1" applyAlignment="1">
      <alignment horizontal="right" vertical="center"/>
    </xf>
    <xf numFmtId="3" fontId="7" fillId="17" borderId="24" xfId="0" applyNumberFormat="1" applyFont="1" applyFill="1" applyBorder="1" applyAlignment="1">
      <alignment horizontal="right" vertical="center"/>
    </xf>
    <xf numFmtId="3" fontId="7" fillId="17" borderId="22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shrinkToFit="1"/>
    </xf>
    <xf numFmtId="0" fontId="1" fillId="0" borderId="34" xfId="0" applyFont="1" applyBorder="1" applyAlignment="1">
      <alignment horizontal="center" shrinkToFit="1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48" xfId="0" applyNumberFormat="1" applyFont="1" applyBorder="1" applyAlignment="1">
      <alignment horizontal="right" indent="2"/>
    </xf>
    <xf numFmtId="167" fontId="7" fillId="2" borderId="136" xfId="0" applyNumberFormat="1" applyFont="1" applyFill="1" applyBorder="1" applyAlignment="1">
      <alignment horizontal="right" indent="2"/>
    </xf>
    <xf numFmtId="167" fontId="7" fillId="2" borderId="8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1" fillId="0" borderId="137" xfId="22" applyFont="1" applyBorder="1" applyAlignment="1">
      <alignment horizontal="center"/>
      <protection/>
    </xf>
    <xf numFmtId="0" fontId="1" fillId="0" borderId="138" xfId="22" applyFont="1" applyBorder="1" applyAlignment="1">
      <alignment horizontal="center"/>
      <protection/>
    </xf>
    <xf numFmtId="0" fontId="1" fillId="0" borderId="139" xfId="22" applyFont="1" applyBorder="1" applyAlignment="1">
      <alignment horizontal="center"/>
      <protection/>
    </xf>
    <xf numFmtId="0" fontId="1" fillId="0" borderId="133" xfId="22" applyFont="1" applyBorder="1" applyAlignment="1">
      <alignment horizontal="center"/>
      <protection/>
    </xf>
    <xf numFmtId="0" fontId="1" fillId="0" borderId="132" xfId="22" applyFont="1" applyBorder="1" applyAlignment="1">
      <alignment horizontal="left"/>
      <protection/>
    </xf>
    <xf numFmtId="0" fontId="1" fillId="0" borderId="30" xfId="22" applyFont="1" applyBorder="1" applyAlignment="1">
      <alignment horizontal="left"/>
      <protection/>
    </xf>
    <xf numFmtId="0" fontId="1" fillId="0" borderId="140" xfId="22" applyFont="1" applyBorder="1" applyAlignment="1">
      <alignment horizontal="left"/>
      <protection/>
    </xf>
    <xf numFmtId="3" fontId="8" fillId="2" borderId="6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49" fontId="15" fillId="4" borderId="141" xfId="22" applyNumberFormat="1" applyFont="1" applyFill="1" applyBorder="1" applyAlignment="1">
      <alignment horizontal="left" wrapText="1"/>
      <protection/>
    </xf>
    <xf numFmtId="49" fontId="16" fillId="0" borderId="142" xfId="0" applyNumberFormat="1" applyFont="1" applyBorder="1" applyAlignment="1">
      <alignment horizontal="left" wrapText="1"/>
    </xf>
    <xf numFmtId="0" fontId="11" fillId="0" borderId="0" xfId="22" applyFont="1" applyAlignment="1">
      <alignment horizontal="center"/>
      <protection/>
    </xf>
    <xf numFmtId="49" fontId="1" fillId="0" borderId="139" xfId="22" applyNumberFormat="1" applyFont="1" applyBorder="1" applyAlignment="1">
      <alignment horizontal="center"/>
      <protection/>
    </xf>
    <xf numFmtId="0" fontId="1" fillId="0" borderId="132" xfId="22" applyFont="1" applyBorder="1" applyAlignment="1">
      <alignment horizontal="center" shrinkToFit="1"/>
      <protection/>
    </xf>
    <xf numFmtId="0" fontId="1" fillId="0" borderId="30" xfId="22" applyFont="1" applyBorder="1" applyAlignment="1">
      <alignment horizontal="center" shrinkToFit="1"/>
      <protection/>
    </xf>
    <xf numFmtId="0" fontId="1" fillId="0" borderId="140" xfId="22" applyFont="1" applyBorder="1" applyAlignment="1">
      <alignment horizontal="center" shrinkToFit="1"/>
      <protection/>
    </xf>
    <xf numFmtId="0" fontId="18" fillId="4" borderId="4" xfId="22" applyNumberFormat="1" applyFont="1" applyFill="1" applyBorder="1" applyAlignment="1">
      <alignment horizontal="left" wrapText="1" indent="1"/>
      <protection/>
    </xf>
    <xf numFmtId="0" fontId="19" fillId="0" borderId="0" xfId="0" applyNumberFormat="1" applyFont="1"/>
    <xf numFmtId="0" fontId="19" fillId="0" borderId="5" xfId="0" applyNumberFormat="1" applyFont="1" applyBorder="1"/>
    <xf numFmtId="49" fontId="18" fillId="4" borderId="141" xfId="22" applyNumberFormat="1" applyFont="1" applyFill="1" applyBorder="1" applyAlignment="1">
      <alignment horizontal="left" wrapText="1"/>
      <protection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7" xfId="20" applyFont="1" applyBorder="1" applyAlignment="1">
      <alignment horizontal="center" shrinkToFit="1"/>
      <protection/>
    </xf>
    <xf numFmtId="0" fontId="1" fillId="0" borderId="34" xfId="20" applyFont="1" applyBorder="1" applyAlignment="1">
      <alignment horizontal="center" shrinkToFit="1"/>
      <protection/>
    </xf>
    <xf numFmtId="0" fontId="4" fillId="0" borderId="12" xfId="20" applyFont="1" applyBorder="1" applyAlignment="1">
      <alignment horizontal="left"/>
      <protection/>
    </xf>
    <xf numFmtId="0" fontId="4" fillId="0" borderId="1" xfId="20" applyFont="1" applyBorder="1" applyAlignment="1">
      <alignment horizontal="left"/>
      <protection/>
    </xf>
    <xf numFmtId="0" fontId="4" fillId="0" borderId="12" xfId="20" applyFont="1" applyBorder="1" applyAlignment="1">
      <alignment horizontal="center"/>
      <protection/>
    </xf>
    <xf numFmtId="0" fontId="1" fillId="0" borderId="0" xfId="20" applyFont="1" applyAlignment="1">
      <alignment horizontal="left" wrapText="1"/>
      <protection/>
    </xf>
    <xf numFmtId="167" fontId="1" fillId="0" borderId="1" xfId="20" applyNumberFormat="1" applyFont="1" applyBorder="1" applyAlignment="1">
      <alignment horizontal="right" indent="2"/>
      <protection/>
    </xf>
    <xf numFmtId="167" fontId="1" fillId="0" borderId="48" xfId="20" applyNumberFormat="1" applyFont="1" applyBorder="1" applyAlignment="1">
      <alignment horizontal="right" indent="2"/>
      <protection/>
    </xf>
    <xf numFmtId="167" fontId="7" fillId="2" borderId="136" xfId="20" applyNumberFormat="1" applyFont="1" applyFill="1" applyBorder="1" applyAlignment="1">
      <alignment horizontal="right" indent="2"/>
      <protection/>
    </xf>
    <xf numFmtId="167" fontId="7" fillId="2" borderId="8" xfId="20" applyNumberFormat="1" applyFont="1" applyFill="1" applyBorder="1" applyAlignment="1">
      <alignment horizontal="right" indent="2"/>
      <protection/>
    </xf>
    <xf numFmtId="0" fontId="9" fillId="0" borderId="0" xfId="20" applyFont="1" applyAlignment="1">
      <alignment horizontal="left" vertical="top" wrapText="1"/>
      <protection/>
    </xf>
    <xf numFmtId="0" fontId="1" fillId="0" borderId="137" xfId="23" applyFont="1" applyBorder="1" applyAlignment="1">
      <alignment horizontal="center"/>
      <protection/>
    </xf>
    <xf numFmtId="0" fontId="1" fillId="0" borderId="138" xfId="23" applyFont="1" applyBorder="1" applyAlignment="1">
      <alignment horizontal="center"/>
      <protection/>
    </xf>
    <xf numFmtId="0" fontId="1" fillId="0" borderId="139" xfId="23" applyFont="1" applyBorder="1" applyAlignment="1">
      <alignment horizontal="center"/>
      <protection/>
    </xf>
    <xf numFmtId="0" fontId="1" fillId="0" borderId="133" xfId="23" applyFont="1" applyBorder="1" applyAlignment="1">
      <alignment horizontal="center"/>
      <protection/>
    </xf>
    <xf numFmtId="0" fontId="1" fillId="0" borderId="132" xfId="23" applyFont="1" applyBorder="1" applyAlignment="1">
      <alignment horizontal="left"/>
      <protection/>
    </xf>
    <xf numFmtId="0" fontId="1" fillId="0" borderId="30" xfId="23" applyFont="1" applyBorder="1" applyAlignment="1">
      <alignment horizontal="left"/>
      <protection/>
    </xf>
    <xf numFmtId="0" fontId="1" fillId="0" borderId="140" xfId="23" applyFont="1" applyBorder="1" applyAlignment="1">
      <alignment horizontal="left"/>
      <protection/>
    </xf>
    <xf numFmtId="3" fontId="8" fillId="2" borderId="6" xfId="20" applyNumberFormat="1" applyFont="1" applyFill="1" applyBorder="1" applyAlignment="1">
      <alignment horizontal="right"/>
      <protection/>
    </xf>
    <xf numFmtId="3" fontId="8" fillId="2" borderId="8" xfId="20" applyNumberFormat="1" applyFont="1" applyFill="1" applyBorder="1" applyAlignment="1">
      <alignment horizontal="right"/>
      <protection/>
    </xf>
    <xf numFmtId="49" fontId="15" fillId="4" borderId="141" xfId="23" applyNumberFormat="1" applyFont="1" applyFill="1" applyBorder="1" applyAlignment="1">
      <alignment horizontal="left" wrapText="1"/>
      <protection/>
    </xf>
    <xf numFmtId="0" fontId="11" fillId="0" borderId="0" xfId="23" applyFont="1" applyAlignment="1">
      <alignment horizontal="center"/>
      <protection/>
    </xf>
    <xf numFmtId="49" fontId="1" fillId="0" borderId="139" xfId="23" applyNumberFormat="1" applyFont="1" applyBorder="1" applyAlignment="1">
      <alignment horizontal="center"/>
      <protection/>
    </xf>
    <xf numFmtId="0" fontId="1" fillId="0" borderId="132" xfId="23" applyFont="1" applyBorder="1" applyAlignment="1">
      <alignment horizontal="center" shrinkToFit="1"/>
      <protection/>
    </xf>
    <xf numFmtId="0" fontId="1" fillId="0" borderId="30" xfId="23" applyFont="1" applyBorder="1" applyAlignment="1">
      <alignment horizontal="center" shrinkToFit="1"/>
      <protection/>
    </xf>
    <xf numFmtId="0" fontId="1" fillId="0" borderId="140" xfId="23" applyFont="1" applyBorder="1" applyAlignment="1">
      <alignment horizontal="center" shrinkToFit="1"/>
      <protection/>
    </xf>
    <xf numFmtId="0" fontId="18" fillId="4" borderId="4" xfId="23" applyNumberFormat="1" applyFont="1" applyFill="1" applyBorder="1" applyAlignment="1">
      <alignment horizontal="left" wrapText="1" indent="1"/>
      <protection/>
    </xf>
    <xf numFmtId="49" fontId="18" fillId="4" borderId="141" xfId="23" applyNumberFormat="1" applyFont="1" applyFill="1" applyBorder="1" applyAlignment="1">
      <alignment horizontal="left" wrapText="1"/>
      <protection/>
    </xf>
    <xf numFmtId="0" fontId="3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9" fillId="0" borderId="1" xfId="20" applyNumberFormat="1" applyFont="1" applyBorder="1" applyAlignment="1">
      <alignment horizontal="center"/>
      <protection/>
    </xf>
    <xf numFmtId="0" fontId="2" fillId="0" borderId="2" xfId="25" applyBorder="1" applyAlignment="1">
      <alignment horizontal="center"/>
      <protection/>
    </xf>
    <xf numFmtId="0" fontId="2" fillId="0" borderId="3" xfId="25" applyBorder="1" applyAlignment="1">
      <alignment horizontal="center"/>
      <protection/>
    </xf>
    <xf numFmtId="3" fontId="39" fillId="0" borderId="12" xfId="20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167" fontId="118" fillId="15" borderId="1" xfId="0" applyNumberFormat="1" applyFont="1" applyFill="1" applyBorder="1" applyAlignment="1">
      <alignment horizontal="right" indent="2"/>
    </xf>
    <xf numFmtId="167" fontId="118" fillId="15" borderId="48" xfId="0" applyNumberFormat="1" applyFont="1" applyFill="1" applyBorder="1" applyAlignment="1">
      <alignment horizontal="right" indent="2"/>
    </xf>
    <xf numFmtId="3" fontId="121" fillId="15" borderId="6" xfId="0" applyNumberFormat="1" applyFont="1" applyFill="1" applyBorder="1" applyAlignment="1">
      <alignment horizontal="right"/>
    </xf>
    <xf numFmtId="3" fontId="121" fillId="15" borderId="8" xfId="0" applyNumberFormat="1" applyFont="1" applyFill="1" applyBorder="1" applyAlignment="1">
      <alignment horizontal="right"/>
    </xf>
    <xf numFmtId="49" fontId="124" fillId="16" borderId="141" xfId="22" applyNumberFormat="1" applyFont="1" applyFill="1" applyBorder="1" applyAlignment="1">
      <alignment horizontal="left" wrapText="1"/>
      <protection/>
    </xf>
    <xf numFmtId="49" fontId="125" fillId="15" borderId="142" xfId="0" applyNumberFormat="1" applyFont="1" applyFill="1" applyBorder="1" applyAlignment="1">
      <alignment horizontal="left" wrapText="1"/>
    </xf>
    <xf numFmtId="1" fontId="22" fillId="0" borderId="143" xfId="28" applyNumberFormat="1" applyFont="1" applyBorder="1" applyAlignment="1">
      <alignment/>
      <protection/>
    </xf>
    <xf numFmtId="1" fontId="22" fillId="0" borderId="144" xfId="28" applyNumberFormat="1" applyFont="1" applyBorder="1" applyAlignment="1">
      <alignment/>
      <protection/>
    </xf>
    <xf numFmtId="1" fontId="22" fillId="0" borderId="69" xfId="28" applyNumberFormat="1" applyFont="1" applyBorder="1" applyAlignment="1">
      <alignment/>
      <protection/>
    </xf>
    <xf numFmtId="1" fontId="7" fillId="0" borderId="145" xfId="28" applyNumberFormat="1" applyFont="1" applyBorder="1" applyAlignment="1">
      <alignment/>
      <protection/>
    </xf>
    <xf numFmtId="4" fontId="22" fillId="0" borderId="0" xfId="28" applyNumberFormat="1" applyFont="1" applyBorder="1" applyAlignment="1">
      <alignment/>
      <protection/>
    </xf>
    <xf numFmtId="4" fontId="7" fillId="0" borderId="0" xfId="28" applyNumberFormat="1" applyFont="1" applyBorder="1" applyAlignment="1">
      <alignment/>
      <protection/>
    </xf>
    <xf numFmtId="0" fontId="25" fillId="0" borderId="0" xfId="28" applyFont="1" applyBorder="1" applyAlignment="1">
      <alignment/>
      <protection/>
    </xf>
    <xf numFmtId="1" fontId="60" fillId="0" borderId="0" xfId="28" applyNumberFormat="1" applyFont="1" applyBorder="1" applyAlignment="1">
      <alignment/>
      <protection/>
    </xf>
    <xf numFmtId="1" fontId="61" fillId="0" borderId="0" xfId="28" applyNumberFormat="1" applyFont="1" applyAlignment="1">
      <alignment/>
      <protection/>
    </xf>
    <xf numFmtId="1" fontId="61" fillId="0" borderId="0" xfId="28" applyNumberFormat="1" applyFont="1" applyBorder="1" applyAlignment="1">
      <alignment/>
      <protection/>
    </xf>
    <xf numFmtId="49" fontId="1" fillId="0" borderId="0" xfId="28" applyNumberFormat="1" applyFont="1" applyFill="1" applyBorder="1" applyAlignment="1">
      <alignment horizontal="left"/>
      <protection/>
    </xf>
    <xf numFmtId="0" fontId="1" fillId="0" borderId="0" xfId="28" applyFont="1" applyAlignment="1">
      <alignment/>
      <protection/>
    </xf>
    <xf numFmtId="0" fontId="55" fillId="0" borderId="0" xfId="28" applyFont="1" applyBorder="1" applyAlignment="1">
      <alignment wrapText="1"/>
      <protection/>
    </xf>
    <xf numFmtId="0" fontId="58" fillId="0" borderId="0" xfId="28" applyFont="1" applyFill="1" applyBorder="1">
      <alignment/>
      <protection/>
    </xf>
    <xf numFmtId="1" fontId="57" fillId="0" borderId="0" xfId="28" applyNumberFormat="1" applyFont="1" applyFill="1" applyBorder="1">
      <alignment/>
      <protection/>
    </xf>
    <xf numFmtId="49" fontId="4" fillId="0" borderId="0" xfId="28" applyNumberFormat="1" applyFont="1" applyFill="1" applyBorder="1" applyAlignment="1">
      <alignment horizontal="left"/>
      <protection/>
    </xf>
    <xf numFmtId="0" fontId="4" fillId="0" borderId="0" xfId="28" applyFont="1" applyAlignment="1">
      <alignment/>
      <protection/>
    </xf>
    <xf numFmtId="0" fontId="4" fillId="0" borderId="0" xfId="28" applyFont="1" applyBorder="1" applyAlignment="1">
      <alignment/>
      <protection/>
    </xf>
    <xf numFmtId="0" fontId="52" fillId="9" borderId="0" xfId="28" applyFont="1" applyFill="1" applyAlignment="1">
      <alignment horizontal="center" vertical="top"/>
      <protection/>
    </xf>
    <xf numFmtId="0" fontId="4" fillId="0" borderId="0" xfId="28" applyFont="1" applyFill="1" applyBorder="1" applyAlignment="1">
      <alignment/>
      <protection/>
    </xf>
    <xf numFmtId="4" fontId="22" fillId="0" borderId="143" xfId="28" applyNumberFormat="1" applyFont="1" applyBorder="1" applyAlignment="1">
      <alignment/>
      <protection/>
    </xf>
    <xf numFmtId="4" fontId="22" fillId="0" borderId="144" xfId="28" applyNumberFormat="1" applyFont="1" applyBorder="1" applyAlignment="1">
      <alignment/>
      <protection/>
    </xf>
    <xf numFmtId="4" fontId="22" fillId="0" borderId="69" xfId="28" applyNumberFormat="1" applyFont="1" applyBorder="1" applyAlignment="1">
      <alignment/>
      <protection/>
    </xf>
    <xf numFmtId="4" fontId="7" fillId="0" borderId="145" xfId="28" applyNumberFormat="1" applyFont="1" applyBorder="1" applyAlignment="1">
      <alignment/>
      <protection/>
    </xf>
    <xf numFmtId="3" fontId="8" fillId="0" borderId="6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49" fontId="123" fillId="16" borderId="141" xfId="22" applyNumberFormat="1" applyFont="1" applyFill="1" applyBorder="1" applyAlignment="1">
      <alignment horizontal="left" wrapText="1"/>
      <protection/>
    </xf>
    <xf numFmtId="49" fontId="120" fillId="15" borderId="142" xfId="0" applyNumberFormat="1" applyFont="1" applyFill="1" applyBorder="1" applyAlignment="1">
      <alignment horizontal="left" wrapText="1"/>
    </xf>
    <xf numFmtId="49" fontId="9" fillId="14" borderId="141" xfId="22" applyNumberFormat="1" applyFont="1" applyFill="1" applyBorder="1" applyAlignment="1">
      <alignment horizontal="left" wrapText="1"/>
      <protection/>
    </xf>
    <xf numFmtId="49" fontId="1" fillId="14" borderId="142" xfId="0" applyNumberFormat="1" applyFont="1" applyFill="1" applyBorder="1" applyAlignment="1">
      <alignment horizontal="left" wrapText="1"/>
    </xf>
    <xf numFmtId="0" fontId="55" fillId="0" borderId="0" xfId="28" applyFont="1" applyFill="1" applyBorder="1" applyAlignment="1">
      <alignment horizontal="left" wrapText="1"/>
      <protection/>
    </xf>
    <xf numFmtId="0" fontId="52" fillId="2" borderId="0" xfId="28" applyFont="1" applyFill="1" applyAlignment="1">
      <alignment horizontal="center" vertical="top"/>
      <protection/>
    </xf>
    <xf numFmtId="0" fontId="23" fillId="0" borderId="0" xfId="29" applyFont="1" applyAlignment="1" applyProtection="1">
      <alignment horizontal="left" vertical="center"/>
      <protection/>
    </xf>
    <xf numFmtId="0" fontId="23" fillId="0" borderId="92" xfId="29" applyFont="1" applyBorder="1" applyAlignment="1" applyProtection="1">
      <alignment horizontal="left" vertical="center"/>
      <protection/>
    </xf>
    <xf numFmtId="0" fontId="23" fillId="0" borderId="93" xfId="29" applyFont="1" applyBorder="1" applyAlignment="1" applyProtection="1">
      <alignment horizontal="left" vertical="center"/>
      <protection/>
    </xf>
    <xf numFmtId="170" fontId="23" fillId="0" borderId="115" xfId="0" applyNumberFormat="1" applyFont="1" applyBorder="1" applyAlignment="1" applyProtection="1">
      <alignment horizontal="left" vertical="center"/>
      <protection/>
    </xf>
    <xf numFmtId="170" fontId="23" fillId="0" borderId="114" xfId="0" applyNumberFormat="1" applyFont="1" applyBorder="1" applyAlignment="1" applyProtection="1">
      <alignment horizontal="left" vertical="center"/>
      <protection/>
    </xf>
    <xf numFmtId="0" fontId="9" fillId="0" borderId="0" xfId="29" applyFont="1" applyAlignment="1" applyProtection="1">
      <alignment horizontal="left" vertical="center"/>
      <protection/>
    </xf>
    <xf numFmtId="0" fontId="23" fillId="0" borderId="86" xfId="29" applyFont="1" applyBorder="1" applyAlignment="1" applyProtection="1">
      <alignment horizontal="left" vertical="center" wrapText="1"/>
      <protection/>
    </xf>
    <xf numFmtId="0" fontId="23" fillId="0" borderId="146" xfId="29" applyFont="1" applyBorder="1" applyAlignment="1" applyProtection="1">
      <alignment horizontal="left" vertical="center" wrapText="1"/>
      <protection/>
    </xf>
    <xf numFmtId="0" fontId="23" fillId="0" borderId="87" xfId="29" applyFont="1" applyBorder="1" applyAlignment="1" applyProtection="1">
      <alignment horizontal="left" vertical="center" wrapText="1"/>
      <protection/>
    </xf>
    <xf numFmtId="0" fontId="23" fillId="0" borderId="88" xfId="29" applyFont="1" applyBorder="1" applyAlignment="1" applyProtection="1">
      <alignment horizontal="left" vertical="center" wrapText="1"/>
      <protection/>
    </xf>
    <xf numFmtId="0" fontId="23" fillId="0" borderId="0" xfId="29" applyFont="1" applyAlignment="1" applyProtection="1">
      <alignment horizontal="left" vertical="center" wrapText="1"/>
      <protection/>
    </xf>
    <xf numFmtId="0" fontId="23" fillId="0" borderId="89" xfId="29" applyFont="1" applyBorder="1" applyAlignment="1" applyProtection="1">
      <alignment horizontal="left" vertical="center" wrapText="1"/>
      <protection/>
    </xf>
    <xf numFmtId="0" fontId="23" fillId="0" borderId="90" xfId="29" applyFont="1" applyBorder="1" applyAlignment="1" applyProtection="1">
      <alignment horizontal="left" vertical="center" wrapText="1"/>
      <protection/>
    </xf>
    <xf numFmtId="0" fontId="23" fillId="0" borderId="147" xfId="29" applyFont="1" applyBorder="1" applyAlignment="1" applyProtection="1">
      <alignment horizontal="left" vertical="center" wrapText="1"/>
      <protection/>
    </xf>
    <xf numFmtId="0" fontId="23" fillId="0" borderId="91" xfId="29" applyFont="1" applyBorder="1" applyAlignment="1" applyProtection="1">
      <alignment horizontal="left" vertical="center" wrapText="1"/>
      <protection/>
    </xf>
    <xf numFmtId="0" fontId="32" fillId="0" borderId="86" xfId="29" applyFont="1" applyBorder="1" applyAlignment="1" applyProtection="1">
      <alignment horizontal="left" vertical="center" wrapText="1"/>
      <protection/>
    </xf>
    <xf numFmtId="0" fontId="32" fillId="0" borderId="146" xfId="29" applyFont="1" applyBorder="1" applyAlignment="1" applyProtection="1">
      <alignment horizontal="left" vertical="center" wrapText="1"/>
      <protection/>
    </xf>
    <xf numFmtId="0" fontId="32" fillId="0" borderId="87" xfId="29" applyFont="1" applyBorder="1" applyAlignment="1" applyProtection="1">
      <alignment horizontal="left" vertical="center" wrapText="1"/>
      <protection/>
    </xf>
    <xf numFmtId="0" fontId="32" fillId="0" borderId="88" xfId="29" applyFont="1" applyBorder="1" applyAlignment="1" applyProtection="1">
      <alignment horizontal="left" vertical="center" wrapText="1"/>
      <protection/>
    </xf>
    <xf numFmtId="0" fontId="32" fillId="0" borderId="0" xfId="29" applyFont="1" applyAlignment="1" applyProtection="1">
      <alignment horizontal="left" vertical="center" wrapText="1"/>
      <protection/>
    </xf>
    <xf numFmtId="0" fontId="32" fillId="0" borderId="89" xfId="29" applyFont="1" applyBorder="1" applyAlignment="1" applyProtection="1">
      <alignment horizontal="left" vertical="center" wrapText="1"/>
      <protection/>
    </xf>
    <xf numFmtId="0" fontId="32" fillId="0" borderId="90" xfId="29" applyFont="1" applyBorder="1" applyAlignment="1" applyProtection="1">
      <alignment horizontal="left" vertical="center" wrapText="1"/>
      <protection/>
    </xf>
    <xf numFmtId="0" fontId="32" fillId="0" borderId="147" xfId="29" applyFont="1" applyBorder="1" applyAlignment="1" applyProtection="1">
      <alignment horizontal="left" vertical="center" wrapText="1"/>
      <protection/>
    </xf>
    <xf numFmtId="0" fontId="32" fillId="0" borderId="91" xfId="29" applyFont="1" applyBorder="1" applyAlignment="1" applyProtection="1">
      <alignment horizontal="left" vertical="center" wrapText="1"/>
      <protection/>
    </xf>
    <xf numFmtId="0" fontId="2" fillId="0" borderId="2" xfId="30" applyBorder="1" applyAlignment="1">
      <alignment horizontal="center"/>
      <protection/>
    </xf>
    <xf numFmtId="0" fontId="2" fillId="0" borderId="3" xfId="30" applyBorder="1" applyAlignment="1">
      <alignment horizontal="center"/>
      <protection/>
    </xf>
    <xf numFmtId="0" fontId="129" fillId="15" borderId="12" xfId="0" applyFont="1" applyFill="1" applyBorder="1" applyAlignment="1">
      <alignment horizontal="left"/>
    </xf>
    <xf numFmtId="0" fontId="129" fillId="15" borderId="1" xfId="0" applyFont="1" applyFill="1" applyBorder="1" applyAlignment="1">
      <alignment horizontal="left"/>
    </xf>
    <xf numFmtId="0" fontId="129" fillId="15" borderId="12" xfId="0" applyFont="1" applyFill="1" applyBorder="1" applyAlignment="1">
      <alignment horizontal="center"/>
    </xf>
    <xf numFmtId="0" fontId="131" fillId="15" borderId="7" xfId="0" applyFont="1" applyFill="1" applyBorder="1" applyAlignment="1">
      <alignment horizontal="center" shrinkToFit="1"/>
    </xf>
    <xf numFmtId="0" fontId="131" fillId="15" borderId="34" xfId="0" applyFont="1" applyFill="1" applyBorder="1" applyAlignment="1">
      <alignment horizontal="center" shrinkToFit="1"/>
    </xf>
    <xf numFmtId="167" fontId="131" fillId="15" borderId="1" xfId="0" applyNumberFormat="1" applyFont="1" applyFill="1" applyBorder="1" applyAlignment="1">
      <alignment horizontal="right"/>
    </xf>
    <xf numFmtId="167" fontId="131" fillId="15" borderId="48" xfId="0" applyNumberFormat="1" applyFont="1" applyFill="1" applyBorder="1" applyAlignment="1">
      <alignment horizontal="right"/>
    </xf>
    <xf numFmtId="167" fontId="133" fillId="15" borderId="136" xfId="0" applyNumberFormat="1" applyFont="1" applyFill="1" applyBorder="1" applyAlignment="1">
      <alignment horizontal="right"/>
    </xf>
    <xf numFmtId="167" fontId="133" fillId="15" borderId="8" xfId="0" applyNumberFormat="1" applyFont="1" applyFill="1" applyBorder="1" applyAlignment="1">
      <alignment horizontal="right"/>
    </xf>
    <xf numFmtId="3" fontId="128" fillId="15" borderId="6" xfId="0" applyNumberFormat="1" applyFont="1" applyFill="1" applyBorder="1" applyAlignment="1">
      <alignment horizontal="right"/>
    </xf>
    <xf numFmtId="3" fontId="128" fillId="15" borderId="8" xfId="0" applyNumberFormat="1" applyFont="1" applyFill="1" applyBorder="1" applyAlignment="1">
      <alignment horizontal="right"/>
    </xf>
    <xf numFmtId="49" fontId="137" fillId="16" borderId="141" xfId="22" applyNumberFormat="1" applyFont="1" applyFill="1" applyBorder="1" applyAlignment="1">
      <alignment horizontal="left" wrapText="1"/>
      <protection/>
    </xf>
    <xf numFmtId="49" fontId="138" fillId="15" borderId="142" xfId="0" applyNumberFormat="1" applyFont="1" applyFill="1" applyBorder="1" applyAlignment="1">
      <alignment horizontal="left" wrapText="1"/>
    </xf>
    <xf numFmtId="49" fontId="135" fillId="16" borderId="141" xfId="22" applyNumberFormat="1" applyFont="1" applyFill="1" applyBorder="1" applyAlignment="1">
      <alignment horizontal="left" wrapText="1"/>
      <protection/>
    </xf>
    <xf numFmtId="0" fontId="135" fillId="16" borderId="4" xfId="22" applyNumberFormat="1" applyFont="1" applyFill="1" applyBorder="1" applyAlignment="1">
      <alignment horizontal="left" wrapText="1" indent="1"/>
      <protection/>
    </xf>
    <xf numFmtId="0" fontId="136" fillId="15" borderId="0" xfId="0" applyNumberFormat="1" applyFont="1" applyFill="1"/>
    <xf numFmtId="0" fontId="136" fillId="15" borderId="5" xfId="0" applyNumberFormat="1" applyFont="1" applyFill="1" applyBorder="1"/>
    <xf numFmtId="0" fontId="79" fillId="11" borderId="0" xfId="28" applyFont="1" applyFill="1" applyBorder="1" applyAlignment="1">
      <alignment horizontal="center" vertical="center"/>
      <protection/>
    </xf>
    <xf numFmtId="0" fontId="79" fillId="10" borderId="0" xfId="28" applyFont="1" applyFill="1" applyBorder="1" applyAlignment="1">
      <alignment horizontal="center" vertical="center"/>
      <protection/>
    </xf>
    <xf numFmtId="0" fontId="79" fillId="12" borderId="0" xfId="28" applyFont="1" applyFill="1" applyBorder="1" applyAlignment="1">
      <alignment horizontal="center" vertical="center"/>
      <protection/>
    </xf>
    <xf numFmtId="0" fontId="87" fillId="9" borderId="25" xfId="0" applyFont="1" applyFill="1" applyBorder="1" applyAlignment="1">
      <alignment vertical="center" shrinkToFit="1"/>
    </xf>
    <xf numFmtId="0" fontId="88" fillId="9" borderId="24" xfId="0" applyFont="1" applyFill="1" applyBorder="1" applyAlignment="1">
      <alignment shrinkToFit="1"/>
    </xf>
    <xf numFmtId="0" fontId="88" fillId="9" borderId="23" xfId="0" applyFont="1" applyFill="1" applyBorder="1" applyAlignment="1">
      <alignment shrinkToFit="1"/>
    </xf>
    <xf numFmtId="0" fontId="87" fillId="13" borderId="0" xfId="0" applyFont="1" applyFill="1" applyBorder="1" applyAlignment="1">
      <alignment horizontal="left"/>
    </xf>
    <xf numFmtId="0" fontId="87" fillId="0" borderId="0" xfId="0" applyFont="1" applyBorder="1" applyAlignment="1">
      <alignment vertical="center"/>
    </xf>
    <xf numFmtId="0" fontId="52" fillId="13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4" fillId="13" borderId="0" xfId="0" applyFont="1" applyFill="1" applyBorder="1" applyAlignment="1">
      <alignment horizontal="left" vertical="top" wrapText="1"/>
    </xf>
    <xf numFmtId="0" fontId="88" fillId="0" borderId="0" xfId="0" applyFont="1" applyBorder="1" applyAlignment="1">
      <alignment horizontal="left"/>
    </xf>
    <xf numFmtId="49" fontId="134" fillId="0" borderId="53" xfId="23" applyNumberFormat="1" applyFont="1" applyBorder="1" applyAlignment="1">
      <alignment horizontal="left" vertical="top"/>
      <protection/>
    </xf>
    <xf numFmtId="0" fontId="134" fillId="0" borderId="53" xfId="23" applyFont="1" applyBorder="1" applyAlignment="1">
      <alignment vertical="top" wrapText="1"/>
      <protection/>
    </xf>
    <xf numFmtId="49" fontId="134" fillId="0" borderId="53" xfId="23" applyNumberFormat="1" applyFont="1" applyBorder="1" applyAlignment="1">
      <alignment horizontal="center" shrinkToFit="1"/>
      <protection/>
    </xf>
    <xf numFmtId="4" fontId="134" fillId="0" borderId="53" xfId="23" applyNumberFormat="1" applyFont="1" applyBorder="1" applyAlignment="1">
      <alignment horizontal="right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_texty_na_desky" xfId="21"/>
    <cellStyle name="normální_POL.XLS" xfId="22"/>
    <cellStyle name="normální_POL.XLS 2" xfId="23"/>
    <cellStyle name="normální 3" xfId="24"/>
    <cellStyle name="normální 4" xfId="25"/>
    <cellStyle name="normální_Rozvody NN" xfId="26"/>
    <cellStyle name="normální_Topení" xfId="27"/>
    <cellStyle name="normální 5" xfId="28"/>
    <cellStyle name="normální 6" xfId="29"/>
    <cellStyle name="normální 7" xfId="30"/>
    <cellStyle name="normální_Rozvody NN (2)" xfId="31"/>
    <cellStyle name="normální_Zahrada 1-12" xfId="32"/>
    <cellStyle name="normální 13" xfId="33"/>
    <cellStyle name="normální 15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externalLink" Target="externalLinks/externalLink1.xml" /><Relationship Id="rId69" Type="http://schemas.openxmlformats.org/officeDocument/2006/relationships/externalLink" Target="externalLinks/externalLink2.xml" /><Relationship Id="rId70" Type="http://schemas.openxmlformats.org/officeDocument/2006/relationships/externalLink" Target="externalLinks/externalLink3.xml" /><Relationship Id="rId7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_04_Hygienicke_zazemi_a_pokladna\PP_stav_Infokiosek%20v&#237;ce%20a%20m&#233;n&#283;%20pr&#225;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_02_Priprava_uzemi_terenni_upravy\PP_SO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_11a_Akumulacni_nadrz\rozpocet_Lednice%20&#250;pravy%20zahrad%20rozpo&#269;et%202.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>
        <row r="2">
          <cell r="G2" t="str">
            <v>aktualizovaný říjen 2014 -odpočty+přípočty</v>
          </cell>
        </row>
        <row r="35">
          <cell r="A35" t="str">
            <v>Ztížené výrobní podmínky</v>
          </cell>
          <cell r="I35">
            <v>0</v>
          </cell>
        </row>
        <row r="36">
          <cell r="A36" t="str">
            <v>Oborová přirážka</v>
          </cell>
          <cell r="I36">
            <v>0</v>
          </cell>
        </row>
        <row r="37">
          <cell r="A37" t="str">
            <v>Přesun stavebních kapacit</v>
          </cell>
          <cell r="I37">
            <v>0</v>
          </cell>
        </row>
        <row r="38">
          <cell r="A38" t="str">
            <v>Mimostaveništní doprava</v>
          </cell>
          <cell r="I38">
            <v>0</v>
          </cell>
        </row>
        <row r="39">
          <cell r="A39" t="str">
            <v>Zařízení staveniště</v>
          </cell>
        </row>
        <row r="40">
          <cell r="A40" t="str">
            <v>Provoz investora</v>
          </cell>
          <cell r="I40">
            <v>0</v>
          </cell>
        </row>
        <row r="41">
          <cell r="A41" t="str">
            <v>Kompletační činnost (IČD)</v>
          </cell>
        </row>
      </sheetData>
      <sheetData sheetId="2">
        <row r="7">
          <cell r="B7" t="str">
            <v>1</v>
          </cell>
          <cell r="C7" t="str">
            <v>Zemní práce</v>
          </cell>
        </row>
        <row r="40">
          <cell r="B40" t="str">
            <v>11</v>
          </cell>
          <cell r="C40" t="str">
            <v>Přípravné a přidružené práce</v>
          </cell>
        </row>
        <row r="48">
          <cell r="B48" t="str">
            <v>2</v>
          </cell>
          <cell r="C48" t="str">
            <v>Základy a zvláštní zakládání</v>
          </cell>
        </row>
        <row r="73">
          <cell r="B73" t="str">
            <v>3</v>
          </cell>
          <cell r="C73" t="str">
            <v>Svislé a kompletní konstrukce</v>
          </cell>
        </row>
        <row r="114">
          <cell r="B114" t="str">
            <v>4</v>
          </cell>
          <cell r="C114" t="str">
            <v>Vodorovné konstrukce</v>
          </cell>
        </row>
        <row r="145">
          <cell r="B145" t="str">
            <v>5</v>
          </cell>
          <cell r="C145" t="str">
            <v>Komunikace</v>
          </cell>
        </row>
        <row r="179">
          <cell r="B179" t="str">
            <v>61</v>
          </cell>
          <cell r="C179" t="str">
            <v>Upravy povrchů vnitřní</v>
          </cell>
        </row>
        <row r="192">
          <cell r="B192" t="str">
            <v>62</v>
          </cell>
          <cell r="C192" t="str">
            <v>Úpravy povrchů vnější</v>
          </cell>
        </row>
        <row r="211">
          <cell r="B211" t="str">
            <v>63</v>
          </cell>
          <cell r="C211" t="str">
            <v>Podlahy a podlahové konstrukce</v>
          </cell>
        </row>
        <row r="227">
          <cell r="B227" t="str">
            <v>91</v>
          </cell>
          <cell r="C227" t="str">
            <v>Doplňující práce na komunikaci</v>
          </cell>
        </row>
        <row r="238">
          <cell r="B238" t="str">
            <v>99</v>
          </cell>
          <cell r="C238" t="str">
            <v>Staveništní přesun hmot</v>
          </cell>
        </row>
        <row r="241">
          <cell r="B241" t="str">
            <v>711</v>
          </cell>
          <cell r="C241" t="str">
            <v>Izolace proti vodě</v>
          </cell>
        </row>
        <row r="293">
          <cell r="B293" t="str">
            <v>713</v>
          </cell>
          <cell r="C293" t="str">
            <v>Izolace tepelné</v>
          </cell>
        </row>
        <row r="333">
          <cell r="B333" t="str">
            <v>762</v>
          </cell>
          <cell r="C333" t="str">
            <v>Konstrukce tesařské</v>
          </cell>
        </row>
        <row r="367">
          <cell r="B367" t="str">
            <v>764</v>
          </cell>
          <cell r="C367" t="str">
            <v>Konstrukce klempířské</v>
          </cell>
        </row>
        <row r="396">
          <cell r="B396" t="str">
            <v>765</v>
          </cell>
          <cell r="C396" t="str">
            <v>Krytiny tvrdé</v>
          </cell>
        </row>
        <row r="404">
          <cell r="B404" t="str">
            <v>766</v>
          </cell>
          <cell r="C404" t="str">
            <v>Konstrukce truhlářské</v>
          </cell>
        </row>
        <row r="439">
          <cell r="B439" t="str">
            <v>767</v>
          </cell>
          <cell r="C439" t="str">
            <v>Konstrukce zámečnické</v>
          </cell>
        </row>
        <row r="443">
          <cell r="B443" t="str">
            <v>769</v>
          </cell>
          <cell r="C443" t="str">
            <v>Otvorové prvky z plastu</v>
          </cell>
        </row>
        <row r="477">
          <cell r="B477" t="str">
            <v>771</v>
          </cell>
          <cell r="C477" t="str">
            <v>Podlahy z dlaždic a obklady</v>
          </cell>
        </row>
        <row r="508">
          <cell r="B508" t="str">
            <v>781</v>
          </cell>
          <cell r="C508" t="str">
            <v>Obklady keramické</v>
          </cell>
        </row>
        <row r="530">
          <cell r="B530" t="str">
            <v>784</v>
          </cell>
          <cell r="C530" t="str">
            <v>Malby</v>
          </cell>
        </row>
        <row r="556">
          <cell r="B556" t="str">
            <v>D96</v>
          </cell>
          <cell r="C556" t="str">
            <v>Přesuny suti a vybouraných hmot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>
        <row r="8">
          <cell r="E8">
            <v>90239.352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3">
          <cell r="A13" t="str">
            <v>Ztížené výrobní podmínky</v>
          </cell>
        </row>
        <row r="14">
          <cell r="A14" t="str">
            <v>Oborová přirážka</v>
          </cell>
        </row>
        <row r="15">
          <cell r="A15" t="str">
            <v>Přesun stavebních kapacit</v>
          </cell>
        </row>
        <row r="16">
          <cell r="A16" t="str">
            <v>Mimostaveništní doprava</v>
          </cell>
        </row>
        <row r="17">
          <cell r="A17" t="str">
            <v>Zařízení staveniště</v>
          </cell>
        </row>
        <row r="18">
          <cell r="A18" t="str">
            <v>Provoz investora</v>
          </cell>
        </row>
        <row r="19">
          <cell r="A19" t="str">
            <v>Kompletační činnost (IČD)</v>
          </cell>
        </row>
        <row r="21">
          <cell r="H21">
            <v>3790.0527839999995</v>
          </cell>
        </row>
      </sheetData>
      <sheetData sheetId="2" refreshError="1">
        <row r="7">
          <cell r="B7" t="str">
            <v>1</v>
          </cell>
          <cell r="C7" t="str">
            <v>Zemní práce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a  KL"/>
      <sheetName val="11a  Rek"/>
      <sheetName val="11a  Pol"/>
    </sheetNames>
    <sheetDataSet>
      <sheetData sheetId="0"/>
      <sheetData sheetId="1">
        <row r="1">
          <cell r="H1" t="str">
            <v/>
          </cell>
        </row>
        <row r="2">
          <cell r="G2" t="str">
            <v>aktualizovaný</v>
          </cell>
        </row>
      </sheetData>
      <sheetData sheetId="2">
        <row r="7">
          <cell r="B7" t="str">
            <v>1</v>
          </cell>
          <cell r="C7" t="str">
            <v>Zemní práce</v>
          </cell>
        </row>
        <row r="46">
          <cell r="B46" t="str">
            <v>11</v>
          </cell>
          <cell r="C46" t="str">
            <v>Přípravné a přidružené práce</v>
          </cell>
        </row>
        <row r="49">
          <cell r="B49" t="str">
            <v>2</v>
          </cell>
          <cell r="C49" t="str">
            <v>Základy a zvláštní zakládání</v>
          </cell>
        </row>
        <row r="53">
          <cell r="B53" t="str">
            <v>3</v>
          </cell>
          <cell r="C53" t="str">
            <v>Svislé a kompletní konstrukce</v>
          </cell>
        </row>
        <row r="71">
          <cell r="B71" t="str">
            <v>61</v>
          </cell>
          <cell r="C71" t="str">
            <v>Upravy povrchů vnitřní</v>
          </cell>
        </row>
        <row r="101">
          <cell r="B101" t="str">
            <v>62</v>
          </cell>
          <cell r="C101" t="str">
            <v>Úpravy povrchů vnější</v>
          </cell>
        </row>
        <row r="104">
          <cell r="B104" t="str">
            <v>63</v>
          </cell>
          <cell r="C104" t="str">
            <v>Podlahy a podlahové konstrukce</v>
          </cell>
        </row>
        <row r="108">
          <cell r="B108" t="str">
            <v>64</v>
          </cell>
          <cell r="C108" t="str">
            <v>Výplně otvorů</v>
          </cell>
        </row>
        <row r="111">
          <cell r="B111" t="str">
            <v>96</v>
          </cell>
          <cell r="C111" t="str">
            <v>Bourání konstrukcí</v>
          </cell>
        </row>
        <row r="118">
          <cell r="B118" t="str">
            <v>97</v>
          </cell>
          <cell r="C118" t="str">
            <v>Prorážení otvorů</v>
          </cell>
        </row>
        <row r="122">
          <cell r="B122" t="str">
            <v>99</v>
          </cell>
          <cell r="C122" t="str">
            <v>Staveništní přesun hmot</v>
          </cell>
        </row>
        <row r="125">
          <cell r="B125" t="str">
            <v>711</v>
          </cell>
          <cell r="C125" t="str">
            <v>Izolace proti vodě</v>
          </cell>
        </row>
        <row r="145">
          <cell r="B145" t="str">
            <v>722</v>
          </cell>
          <cell r="C145" t="str">
            <v>Vnitřní vodovod</v>
          </cell>
        </row>
        <row r="149">
          <cell r="B149" t="str">
            <v>767</v>
          </cell>
          <cell r="C149" t="str">
            <v>Konstrukce zámečnické</v>
          </cell>
        </row>
        <row r="167">
          <cell r="B167" t="str">
            <v>771</v>
          </cell>
          <cell r="C167" t="str">
            <v>Podlahy z dlaždic a obklady</v>
          </cell>
        </row>
        <row r="179">
          <cell r="B179" t="str">
            <v>783</v>
          </cell>
          <cell r="C179" t="str">
            <v>Nátěry</v>
          </cell>
        </row>
        <row r="183">
          <cell r="B183" t="str">
            <v>M21</v>
          </cell>
          <cell r="C183" t="str">
            <v>Elektromontáže</v>
          </cell>
        </row>
        <row r="188">
          <cell r="B188" t="str">
            <v>D96</v>
          </cell>
          <cell r="C188" t="str">
            <v>Přesuny suti a vybouraných hmot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J102"/>
  <sheetViews>
    <sheetView showGridLines="0" view="pageBreakPreview" zoomScale="115" zoomScaleSheetLayoutView="115" workbookViewId="0" topLeftCell="B25">
      <selection activeCell="H54" sqref="H54"/>
    </sheetView>
  </sheetViews>
  <sheetFormatPr defaultColWidth="9.1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625" style="1" customWidth="1"/>
    <col min="5" max="5" width="16.00390625" style="1" customWidth="1"/>
    <col min="6" max="7" width="11.50390625" style="2" customWidth="1"/>
    <col min="8" max="8" width="14.375" style="2" customWidth="1"/>
    <col min="9" max="10" width="10.625" style="1" customWidth="1"/>
    <col min="11" max="16384" width="9.125" style="1" customWidth="1"/>
  </cols>
  <sheetData>
    <row r="2" spans="2:7" ht="17.4">
      <c r="B2" s="3"/>
      <c r="C2" s="4" t="s">
        <v>0</v>
      </c>
      <c r="E2" s="5"/>
      <c r="F2" s="6">
        <f ca="1">TODAY()</f>
        <v>41957</v>
      </c>
      <c r="G2" s="6"/>
    </row>
    <row r="3" spans="3:4" ht="12.75">
      <c r="C3" s="7"/>
      <c r="D3" s="8" t="s">
        <v>1</v>
      </c>
    </row>
    <row r="5" spans="3:10" ht="15.6">
      <c r="C5" s="9" t="s">
        <v>2</v>
      </c>
      <c r="D5" s="10" t="s">
        <v>12</v>
      </c>
      <c r="E5" s="11" t="s">
        <v>13</v>
      </c>
      <c r="F5" s="13"/>
      <c r="G5" s="13"/>
      <c r="J5" s="6"/>
    </row>
    <row r="7" spans="3:8" ht="12.75">
      <c r="C7" s="14" t="s">
        <v>3</v>
      </c>
      <c r="D7" s="15"/>
      <c r="H7" s="15"/>
    </row>
    <row r="8" spans="4:8" ht="12.75">
      <c r="D8" s="15"/>
      <c r="H8" s="15"/>
    </row>
    <row r="9" spans="3:8" ht="12.75">
      <c r="C9" s="16"/>
      <c r="D9" s="15"/>
      <c r="H9" s="15"/>
    </row>
    <row r="10" ht="12.75">
      <c r="H10" s="15"/>
    </row>
    <row r="11" spans="3:8" ht="12.75">
      <c r="C11" s="14" t="s">
        <v>4</v>
      </c>
      <c r="D11" s="15" t="s">
        <v>44</v>
      </c>
      <c r="H11" s="15"/>
    </row>
    <row r="12" spans="4:8" ht="12.75">
      <c r="D12" s="15"/>
      <c r="H12" s="15"/>
    </row>
    <row r="13" spans="3:8" ht="12.75">
      <c r="C13" s="16"/>
      <c r="D13" s="15"/>
      <c r="H13" s="16"/>
    </row>
    <row r="14" spans="3:8" ht="12.75">
      <c r="C14" s="17" t="s">
        <v>5</v>
      </c>
      <c r="H14" s="16"/>
    </row>
    <row r="15" ht="12.75">
      <c r="H15" s="16"/>
    </row>
    <row r="16" ht="12.75">
      <c r="C16" s="17" t="s">
        <v>6</v>
      </c>
    </row>
    <row r="17" ht="12.75">
      <c r="F17" s="2" t="s">
        <v>46</v>
      </c>
    </row>
    <row r="18" spans="2:8" ht="12.75">
      <c r="B18" s="18"/>
      <c r="C18" s="19"/>
      <c r="D18" s="19"/>
      <c r="E18" s="20"/>
      <c r="F18" s="21"/>
      <c r="G18" s="21"/>
      <c r="H18" s="22" t="s">
        <v>7</v>
      </c>
    </row>
    <row r="19" spans="2:8" ht="12.75">
      <c r="B19" s="23" t="s">
        <v>8</v>
      </c>
      <c r="C19" s="24"/>
      <c r="D19" s="25">
        <v>15</v>
      </c>
      <c r="E19" s="26" t="s">
        <v>9</v>
      </c>
      <c r="F19" s="1561">
        <v>0</v>
      </c>
      <c r="G19" s="1561"/>
      <c r="H19" s="1562"/>
    </row>
    <row r="20" spans="2:8" ht="12.75">
      <c r="B20" s="23" t="s">
        <v>8</v>
      </c>
      <c r="C20" s="24"/>
      <c r="D20" s="25">
        <v>21</v>
      </c>
      <c r="E20" s="26" t="s">
        <v>9</v>
      </c>
      <c r="F20" s="1563">
        <f>F63</f>
        <v>899505</v>
      </c>
      <c r="G20" s="1563"/>
      <c r="H20" s="1564"/>
    </row>
    <row r="21" spans="2:8" ht="13.8" thickBot="1">
      <c r="B21" s="23" t="s">
        <v>2558</v>
      </c>
      <c r="C21" s="24"/>
      <c r="D21" s="25"/>
      <c r="E21" s="24"/>
      <c r="F21" s="1286"/>
      <c r="G21" s="1282"/>
      <c r="H21" s="1283">
        <f>F20*1.21-F20</f>
        <v>188896.05000000005</v>
      </c>
    </row>
    <row r="22" spans="2:8" ht="16.2" thickBot="1">
      <c r="B22" s="27" t="s">
        <v>2686</v>
      </c>
      <c r="C22" s="28"/>
      <c r="D22" s="28"/>
      <c r="E22" s="29"/>
      <c r="F22" s="1565">
        <f>F20*1.21</f>
        <v>1088401.05</v>
      </c>
      <c r="G22" s="1566"/>
      <c r="H22" s="1567"/>
    </row>
    <row r="23" spans="2:8" ht="15.6">
      <c r="B23" s="40"/>
      <c r="C23" s="41"/>
      <c r="D23" s="41"/>
      <c r="E23" s="42"/>
      <c r="F23" s="43"/>
      <c r="G23" s="43"/>
      <c r="H23" s="43"/>
    </row>
    <row r="24" spans="2:8" ht="12.75">
      <c r="B24" s="18"/>
      <c r="C24" s="19"/>
      <c r="D24" s="19"/>
      <c r="E24" s="20"/>
      <c r="F24" s="21"/>
      <c r="G24" s="21"/>
      <c r="H24" s="22" t="s">
        <v>7</v>
      </c>
    </row>
    <row r="25" spans="2:8" ht="12.75">
      <c r="B25" s="23" t="s">
        <v>8</v>
      </c>
      <c r="C25" s="24"/>
      <c r="D25" s="25">
        <v>15</v>
      </c>
      <c r="E25" s="26" t="s">
        <v>9</v>
      </c>
      <c r="F25" s="1561">
        <v>0</v>
      </c>
      <c r="G25" s="1561"/>
      <c r="H25" s="1562"/>
    </row>
    <row r="26" spans="2:8" ht="12.75">
      <c r="B26" s="23" t="s">
        <v>8</v>
      </c>
      <c r="C26" s="24"/>
      <c r="D26" s="25">
        <v>21</v>
      </c>
      <c r="E26" s="26" t="s">
        <v>9</v>
      </c>
      <c r="F26" s="1563" t="e">
        <f>StavbaCelkem</f>
        <v>#VALUE!</v>
      </c>
      <c r="G26" s="1563"/>
      <c r="H26" s="1564"/>
    </row>
    <row r="27" spans="2:8" ht="13.8" thickBot="1">
      <c r="B27" s="23" t="s">
        <v>2558</v>
      </c>
      <c r="C27" s="24"/>
      <c r="D27" s="25"/>
      <c r="E27" s="24"/>
      <c r="F27" s="1286"/>
      <c r="G27" s="1282"/>
      <c r="H27" s="1283" t="e">
        <f>F26*1.21-F26</f>
        <v>#VALUE!</v>
      </c>
    </row>
    <row r="28" spans="2:8" ht="16.2" thickBot="1">
      <c r="B28" s="27" t="s">
        <v>2687</v>
      </c>
      <c r="C28" s="28"/>
      <c r="D28" s="28"/>
      <c r="E28" s="29"/>
      <c r="F28" s="1565" t="e">
        <f>F26*1.21</f>
        <v>#VALUE!</v>
      </c>
      <c r="G28" s="1566"/>
      <c r="H28" s="1567"/>
    </row>
    <row r="31" spans="2:8" ht="17.4">
      <c r="B31" s="11" t="s">
        <v>11</v>
      </c>
      <c r="C31" s="30"/>
      <c r="D31" s="30"/>
      <c r="E31" s="30"/>
      <c r="F31" s="30"/>
      <c r="G31" s="30"/>
      <c r="H31" s="30"/>
    </row>
    <row r="33" spans="2:8" ht="39.6">
      <c r="B33" s="32" t="s">
        <v>10</v>
      </c>
      <c r="C33" s="33"/>
      <c r="D33" s="33"/>
      <c r="E33" s="34"/>
      <c r="F33" s="278" t="s">
        <v>313</v>
      </c>
      <c r="G33" s="280" t="s">
        <v>2688</v>
      </c>
      <c r="H33" s="283" t="s">
        <v>314</v>
      </c>
    </row>
    <row r="34" spans="2:8" ht="12.75">
      <c r="B34" s="922" t="s">
        <v>14</v>
      </c>
      <c r="C34" s="926" t="s">
        <v>15</v>
      </c>
      <c r="D34" s="927"/>
      <c r="E34" s="928"/>
      <c r="F34" s="923">
        <f>'r01K'!C23</f>
        <v>0</v>
      </c>
      <c r="G34" s="929">
        <f>'z01K'!C23</f>
        <v>0</v>
      </c>
      <c r="H34" s="930">
        <f>F34+G34</f>
        <v>0</v>
      </c>
    </row>
    <row r="35" spans="2:8" ht="12.75">
      <c r="B35" s="922">
        <v>2</v>
      </c>
      <c r="C35" s="45" t="s">
        <v>47</v>
      </c>
      <c r="D35" s="35"/>
      <c r="E35" s="36"/>
      <c r="F35" s="279"/>
      <c r="G35" s="281"/>
      <c r="H35" s="284">
        <f>'p02K'!C23</f>
        <v>0</v>
      </c>
    </row>
    <row r="36" spans="2:8" ht="12.75">
      <c r="B36" s="922" t="s">
        <v>16</v>
      </c>
      <c r="C36" s="926" t="s">
        <v>17</v>
      </c>
      <c r="D36" s="927"/>
      <c r="E36" s="928"/>
      <c r="F36" s="923">
        <f>'r03K'!C23</f>
        <v>0</v>
      </c>
      <c r="G36" s="929"/>
      <c r="H36" s="930">
        <f>F36</f>
        <v>0</v>
      </c>
    </row>
    <row r="37" spans="2:8" ht="12.75">
      <c r="B37" s="922" t="s">
        <v>18</v>
      </c>
      <c r="C37" s="45" t="s">
        <v>19</v>
      </c>
      <c r="D37" s="35"/>
      <c r="E37" s="36"/>
      <c r="F37" s="678">
        <f>SUM(F38:F43)</f>
        <v>0</v>
      </c>
      <c r="G37" s="914"/>
      <c r="H37" s="735">
        <f>SUM(H38:H43)</f>
        <v>0</v>
      </c>
    </row>
    <row r="38" spans="2:8" ht="13.2" customHeight="1">
      <c r="B38" s="922"/>
      <c r="C38" s="46" t="s">
        <v>1063</v>
      </c>
      <c r="D38" s="35"/>
      <c r="E38" s="36"/>
      <c r="F38" s="279">
        <f>'r04 1K'!C23</f>
        <v>0</v>
      </c>
      <c r="G38" s="281">
        <f>'z04 1K'!C23</f>
        <v>0</v>
      </c>
      <c r="H38" s="681">
        <f>F38+G38</f>
        <v>0</v>
      </c>
    </row>
    <row r="39" spans="2:8" ht="13.2" customHeight="1">
      <c r="B39" s="922"/>
      <c r="C39" s="931" t="s">
        <v>53</v>
      </c>
      <c r="D39" s="927"/>
      <c r="E39" s="928"/>
      <c r="F39" s="925">
        <f>'r04a'!F37</f>
        <v>0</v>
      </c>
      <c r="G39" s="929"/>
      <c r="H39" s="932">
        <f>'p04 a'!F31</f>
        <v>0</v>
      </c>
    </row>
    <row r="40" spans="2:8" ht="13.2" customHeight="1">
      <c r="B40" s="922"/>
      <c r="C40" s="46" t="s">
        <v>49</v>
      </c>
      <c r="D40" s="35"/>
      <c r="E40" s="36"/>
      <c r="F40" s="279">
        <f>'r04c'!D46</f>
        <v>0</v>
      </c>
      <c r="G40" s="281"/>
      <c r="H40" s="681">
        <f>'p04 c'!D79</f>
        <v>0</v>
      </c>
    </row>
    <row r="41" spans="2:8" ht="13.2" customHeight="1">
      <c r="B41" s="922"/>
      <c r="C41" s="931" t="s">
        <v>52</v>
      </c>
      <c r="D41" s="927"/>
      <c r="E41" s="928"/>
      <c r="F41" s="925">
        <f>'r04e'!F73</f>
        <v>0</v>
      </c>
      <c r="G41" s="929"/>
      <c r="H41" s="932">
        <f>'p04 e'!F75</f>
        <v>0</v>
      </c>
    </row>
    <row r="42" spans="2:8" ht="13.2" customHeight="1">
      <c r="B42" s="922"/>
      <c r="C42" s="46" t="s">
        <v>50</v>
      </c>
      <c r="D42" s="35"/>
      <c r="E42" s="36"/>
      <c r="F42" s="279">
        <f>'r04g'!J63</f>
        <v>0</v>
      </c>
      <c r="G42" s="281">
        <f>'z04g'!J28</f>
        <v>0</v>
      </c>
      <c r="H42" s="681">
        <f>F42+G42</f>
        <v>0</v>
      </c>
    </row>
    <row r="43" spans="2:8" ht="13.2" customHeight="1">
      <c r="B43" s="922"/>
      <c r="C43" s="931" t="s">
        <v>51</v>
      </c>
      <c r="D43" s="927"/>
      <c r="E43" s="928"/>
      <c r="F43" s="925">
        <f>'r04h'!G34</f>
        <v>0</v>
      </c>
      <c r="G43" s="929">
        <f>'z04h'!J40</f>
        <v>0</v>
      </c>
      <c r="H43" s="932">
        <f>F43+G43</f>
        <v>0</v>
      </c>
    </row>
    <row r="44" spans="2:8" ht="13.2" customHeight="1">
      <c r="B44" s="922" t="s">
        <v>28</v>
      </c>
      <c r="C44" s="926" t="s">
        <v>2684</v>
      </c>
      <c r="D44" s="927"/>
      <c r="E44" s="928"/>
      <c r="F44" s="923">
        <f>'r05K'!C23</f>
        <v>0</v>
      </c>
      <c r="G44" s="1372"/>
      <c r="H44" s="930">
        <f>F44+G44</f>
        <v>0</v>
      </c>
    </row>
    <row r="45" spans="2:8" ht="21" customHeight="1">
      <c r="B45" s="922" t="s">
        <v>29</v>
      </c>
      <c r="C45" s="45" t="s">
        <v>30</v>
      </c>
      <c r="D45" s="35"/>
      <c r="E45" s="36"/>
      <c r="F45" s="678">
        <f>SUM(F46:F48)</f>
        <v>0</v>
      </c>
      <c r="G45" s="281"/>
      <c r="H45" s="284">
        <f>SUM(H46:H48)</f>
        <v>0</v>
      </c>
    </row>
    <row r="46" spans="2:8" ht="12.75">
      <c r="B46" s="922"/>
      <c r="C46" s="931" t="s">
        <v>55</v>
      </c>
      <c r="D46" s="927"/>
      <c r="E46" s="928"/>
      <c r="F46" s="925">
        <f>'r06 1'!E42</f>
        <v>0</v>
      </c>
      <c r="G46" s="929"/>
      <c r="H46" s="932">
        <f>'p06 1'!E42</f>
        <v>0</v>
      </c>
    </row>
    <row r="47" spans="2:8" ht="12.75">
      <c r="B47" s="922"/>
      <c r="C47" s="46" t="s">
        <v>56</v>
      </c>
      <c r="D47" s="35"/>
      <c r="E47" s="36"/>
      <c r="F47" s="279"/>
      <c r="G47" s="281">
        <f>'z06 2K'!C23</f>
        <v>0</v>
      </c>
      <c r="H47" s="681">
        <f>F47+G47</f>
        <v>0</v>
      </c>
    </row>
    <row r="48" spans="2:8" ht="12.75">
      <c r="B48" s="922"/>
      <c r="C48" s="931" t="s">
        <v>1699</v>
      </c>
      <c r="D48" s="927"/>
      <c r="E48" s="928"/>
      <c r="F48" s="925">
        <f>'r06 3'!E44</f>
        <v>0</v>
      </c>
      <c r="G48" s="929"/>
      <c r="H48" s="930">
        <f>'p06 3'!E44</f>
        <v>0</v>
      </c>
    </row>
    <row r="49" spans="2:8" ht="12.75">
      <c r="B49" s="922" t="s">
        <v>20</v>
      </c>
      <c r="C49" s="45" t="s">
        <v>31</v>
      </c>
      <c r="D49" s="35"/>
      <c r="E49" s="36"/>
      <c r="F49" s="678">
        <f>'r07'!F29</f>
        <v>0</v>
      </c>
      <c r="G49" s="282"/>
      <c r="H49" s="285">
        <f>'p07,08'!F28</f>
        <v>0</v>
      </c>
    </row>
    <row r="50" spans="2:8" ht="12.75">
      <c r="B50" s="922" t="s">
        <v>32</v>
      </c>
      <c r="C50" s="926" t="s">
        <v>33</v>
      </c>
      <c r="D50" s="927"/>
      <c r="E50" s="928"/>
      <c r="F50" s="923">
        <f>'r08'!F35</f>
        <v>0</v>
      </c>
      <c r="G50" s="924"/>
      <c r="H50" s="494">
        <f>'p07,08'!F68</f>
        <v>0</v>
      </c>
    </row>
    <row r="51" spans="2:8" ht="13.2" customHeight="1">
      <c r="B51" s="922" t="s">
        <v>34</v>
      </c>
      <c r="C51" s="45" t="s">
        <v>35</v>
      </c>
      <c r="D51" s="35"/>
      <c r="E51" s="36"/>
      <c r="F51" s="678">
        <f>'r09'!R31</f>
        <v>0</v>
      </c>
      <c r="G51" s="281">
        <f>'z09 NN'!J47+'z09 pater'!J35+'z09 zahr'!J25</f>
        <v>0</v>
      </c>
      <c r="H51" s="284">
        <f>F51+G51</f>
        <v>0</v>
      </c>
    </row>
    <row r="52" spans="2:10" ht="12.75">
      <c r="B52" s="922" t="s">
        <v>26</v>
      </c>
      <c r="C52" s="926" t="s">
        <v>36</v>
      </c>
      <c r="D52" s="927"/>
      <c r="E52" s="928"/>
      <c r="F52" s="923">
        <f>'r10'!G93</f>
        <v>0</v>
      </c>
      <c r="G52" s="929">
        <f>'z10'!J81</f>
        <v>0</v>
      </c>
      <c r="H52" s="930">
        <f>F52+G52</f>
        <v>0</v>
      </c>
      <c r="J52" s="39"/>
    </row>
    <row r="53" spans="2:8" ht="12.75">
      <c r="B53" s="922" t="s">
        <v>22</v>
      </c>
      <c r="C53" s="45" t="s">
        <v>23</v>
      </c>
      <c r="D53" s="35"/>
      <c r="E53" s="928"/>
      <c r="F53" s="678">
        <f>'r11aK'!C23</f>
        <v>0</v>
      </c>
      <c r="G53" s="281">
        <f>'z11aK'!C23</f>
        <v>0</v>
      </c>
      <c r="H53" s="284">
        <f>F53+G53</f>
        <v>0</v>
      </c>
    </row>
    <row r="54" spans="2:8" ht="12.75">
      <c r="B54" s="922" t="s">
        <v>24</v>
      </c>
      <c r="C54" s="926" t="s">
        <v>25</v>
      </c>
      <c r="D54" s="927"/>
      <c r="E54" s="1340" t="s">
        <v>2737</v>
      </c>
      <c r="F54" s="923">
        <f>'r11bK'!C23</f>
        <v>0</v>
      </c>
      <c r="G54" s="929">
        <f>'z11bK'!C23</f>
        <v>0</v>
      </c>
      <c r="H54" s="1339"/>
    </row>
    <row r="55" spans="2:8" ht="12.75">
      <c r="B55" s="922" t="s">
        <v>27</v>
      </c>
      <c r="C55" s="45" t="s">
        <v>37</v>
      </c>
      <c r="D55" s="35"/>
      <c r="E55" s="36"/>
      <c r="F55" s="678">
        <f>'r12'!F115</f>
        <v>0</v>
      </c>
      <c r="G55" s="281"/>
      <c r="H55" s="284" t="str">
        <f>'p12'!H137</f>
        <v/>
      </c>
    </row>
    <row r="56" spans="2:8" ht="12.75">
      <c r="B56" s="166"/>
      <c r="C56" s="926" t="s">
        <v>38</v>
      </c>
      <c r="D56" s="927"/>
      <c r="E56" s="1340" t="s">
        <v>2737</v>
      </c>
      <c r="F56" s="1343">
        <v>0</v>
      </c>
      <c r="G56" s="929"/>
      <c r="H56" s="1341">
        <f aca="true" t="shared" si="0" ref="H56:H62">F56</f>
        <v>0</v>
      </c>
    </row>
    <row r="57" spans="2:8" ht="12.75">
      <c r="B57" s="166"/>
      <c r="C57" s="45" t="s">
        <v>42</v>
      </c>
      <c r="D57" s="35"/>
      <c r="E57" s="1340" t="s">
        <v>2737</v>
      </c>
      <c r="F57" s="1343">
        <v>0</v>
      </c>
      <c r="G57" s="281"/>
      <c r="H57" s="1342">
        <f t="shared" si="0"/>
        <v>0</v>
      </c>
    </row>
    <row r="58" spans="2:8" ht="12.75">
      <c r="B58" s="166"/>
      <c r="C58" s="926" t="s">
        <v>39</v>
      </c>
      <c r="D58" s="927"/>
      <c r="E58" s="1340" t="s">
        <v>2737</v>
      </c>
      <c r="F58" s="1343">
        <v>0</v>
      </c>
      <c r="G58" s="929"/>
      <c r="H58" s="1341">
        <f t="shared" si="0"/>
        <v>0</v>
      </c>
    </row>
    <row r="59" spans="2:8" ht="12.75">
      <c r="B59" s="166"/>
      <c r="C59" s="45" t="s">
        <v>40</v>
      </c>
      <c r="D59" s="35"/>
      <c r="E59" s="1340" t="s">
        <v>2737</v>
      </c>
      <c r="F59" s="1343">
        <v>0</v>
      </c>
      <c r="G59" s="281"/>
      <c r="H59" s="1342">
        <f t="shared" si="0"/>
        <v>0</v>
      </c>
    </row>
    <row r="60" spans="2:8" ht="12.75">
      <c r="B60" s="166"/>
      <c r="C60" s="926" t="s">
        <v>43</v>
      </c>
      <c r="D60" s="927"/>
      <c r="E60" s="1340" t="s">
        <v>2737</v>
      </c>
      <c r="F60" s="1343">
        <v>0</v>
      </c>
      <c r="G60" s="929"/>
      <c r="H60" s="1341">
        <f t="shared" si="0"/>
        <v>0</v>
      </c>
    </row>
    <row r="61" spans="2:8" ht="12.75">
      <c r="B61" s="166"/>
      <c r="C61" s="47" t="s">
        <v>45</v>
      </c>
      <c r="D61" s="35"/>
      <c r="E61" s="1340" t="s">
        <v>2737</v>
      </c>
      <c r="F61" s="1343">
        <v>0</v>
      </c>
      <c r="G61" s="281"/>
      <c r="H61" s="1342">
        <f t="shared" si="0"/>
        <v>0</v>
      </c>
    </row>
    <row r="62" spans="2:8" ht="12.75">
      <c r="B62" s="166"/>
      <c r="C62" s="926" t="s">
        <v>41</v>
      </c>
      <c r="D62" s="927"/>
      <c r="E62" s="928"/>
      <c r="F62" s="923">
        <v>899505</v>
      </c>
      <c r="G62" s="929"/>
      <c r="H62" s="930">
        <f t="shared" si="0"/>
        <v>899505</v>
      </c>
    </row>
    <row r="63" spans="2:8" ht="12.75">
      <c r="B63" s="37" t="s">
        <v>54</v>
      </c>
      <c r="C63" s="916"/>
      <c r="D63" s="917"/>
      <c r="E63" s="918"/>
      <c r="F63" s="919">
        <f>F34+F35+F36+F37+F44+F45+F49+F50+F51+F52+F53+F54+F55+F56+F57+F58+F59+F60+F61+F62</f>
        <v>899505</v>
      </c>
      <c r="G63" s="920"/>
      <c r="H63" s="921" t="e">
        <f>H34+H35+H36+H37+H44+H45+H49+H50+H51+H52+H53+H55+H56+H57+H58+H59+H60+H61+H62</f>
        <v>#VALUE!</v>
      </c>
    </row>
    <row r="64" spans="2:8" ht="12.75">
      <c r="B64" s="38"/>
      <c r="C64" s="1560"/>
      <c r="D64" s="1560"/>
      <c r="E64" s="1560"/>
      <c r="F64" s="38"/>
      <c r="G64" s="38"/>
      <c r="H64" s="44"/>
    </row>
    <row r="65" spans="2:8" ht="12.75">
      <c r="B65" s="38"/>
      <c r="C65" s="1560"/>
      <c r="D65" s="1560"/>
      <c r="E65" s="1560"/>
      <c r="F65" s="38"/>
      <c r="G65" s="38"/>
      <c r="H65" s="38"/>
    </row>
    <row r="66" ht="12.75">
      <c r="B66" s="12" t="s">
        <v>349</v>
      </c>
    </row>
    <row r="67" ht="12.75">
      <c r="B67" s="1285" t="s">
        <v>350</v>
      </c>
    </row>
    <row r="68" ht="12.75">
      <c r="B68" s="1285" t="s">
        <v>1629</v>
      </c>
    </row>
    <row r="69" ht="12.75">
      <c r="B69" s="1285" t="s">
        <v>351</v>
      </c>
    </row>
    <row r="70" ht="12.75">
      <c r="B70" s="1285" t="s">
        <v>1630</v>
      </c>
    </row>
    <row r="71" ht="12.75">
      <c r="B71" s="1285" t="s">
        <v>1631</v>
      </c>
    </row>
    <row r="72" ht="12.75">
      <c r="B72" s="1285" t="s">
        <v>1064</v>
      </c>
    </row>
    <row r="73" ht="12.75">
      <c r="B73" s="1285" t="s">
        <v>1703</v>
      </c>
    </row>
    <row r="74" spans="2:8" ht="12.75">
      <c r="B74" s="1293" t="s">
        <v>2714</v>
      </c>
      <c r="C74" s="1294"/>
      <c r="D74" s="1294"/>
      <c r="E74" s="1294"/>
      <c r="F74" s="1295"/>
      <c r="G74" s="1295"/>
      <c r="H74" s="1295"/>
    </row>
    <row r="75" spans="2:8" ht="12.75">
      <c r="B75" s="1301" t="s">
        <v>2715</v>
      </c>
      <c r="C75" s="1299"/>
      <c r="D75" s="1299"/>
      <c r="E75" s="1299"/>
      <c r="F75" s="1300"/>
      <c r="G75" s="1300"/>
      <c r="H75" s="1300"/>
    </row>
    <row r="76" spans="2:8" ht="12.75">
      <c r="B76" s="1346"/>
      <c r="C76" s="171"/>
      <c r="D76" s="171"/>
      <c r="E76" s="171"/>
      <c r="F76" s="1347"/>
      <c r="G76" s="1347"/>
      <c r="H76" s="1347"/>
    </row>
    <row r="77" spans="2:8" s="1285" customFormat="1" ht="10.2">
      <c r="B77" s="1345" t="s">
        <v>2738</v>
      </c>
      <c r="F77" s="1344"/>
      <c r="G77" s="1344"/>
      <c r="H77" s="1344"/>
    </row>
    <row r="78" spans="2:8" s="1285" customFormat="1" ht="10.2">
      <c r="B78" s="1285" t="s">
        <v>2739</v>
      </c>
      <c r="C78" s="1285" t="s">
        <v>2740</v>
      </c>
      <c r="F78" s="1344"/>
      <c r="G78" s="1344"/>
      <c r="H78" s="1344"/>
    </row>
    <row r="79" spans="2:8" s="1285" customFormat="1" ht="10.2">
      <c r="B79" s="1285" t="s">
        <v>2739</v>
      </c>
      <c r="C79" s="1285" t="s">
        <v>2741</v>
      </c>
      <c r="F79" s="1344"/>
      <c r="G79" s="1344"/>
      <c r="H79" s="1344"/>
    </row>
    <row r="80" spans="2:8" s="1285" customFormat="1" ht="10.2">
      <c r="B80" s="1285" t="s">
        <v>2739</v>
      </c>
      <c r="C80" s="1285" t="s">
        <v>2742</v>
      </c>
      <c r="F80" s="1344"/>
      <c r="G80" s="1344"/>
      <c r="H80" s="1344"/>
    </row>
    <row r="81" spans="2:8" s="1285" customFormat="1" ht="24" customHeight="1">
      <c r="B81" s="1285" t="s">
        <v>2739</v>
      </c>
      <c r="C81" s="1559" t="s">
        <v>2743</v>
      </c>
      <c r="D81" s="1559"/>
      <c r="E81" s="1559"/>
      <c r="F81" s="1559"/>
      <c r="G81" s="1559"/>
      <c r="H81" s="1559"/>
    </row>
    <row r="82" spans="2:8" s="1285" customFormat="1" ht="10.2">
      <c r="B82" s="1285" t="s">
        <v>2739</v>
      </c>
      <c r="C82" s="1285" t="s">
        <v>2744</v>
      </c>
      <c r="D82" s="1285" t="s">
        <v>2745</v>
      </c>
      <c r="F82" s="1344"/>
      <c r="G82" s="1344"/>
      <c r="H82" s="1344"/>
    </row>
    <row r="83" spans="6:8" s="1285" customFormat="1" ht="10.2">
      <c r="F83" s="1344"/>
      <c r="G83" s="1344"/>
      <c r="H83" s="1344"/>
    </row>
    <row r="84" spans="2:8" s="1285" customFormat="1" ht="10.2">
      <c r="B84" s="1345" t="s">
        <v>2746</v>
      </c>
      <c r="F84" s="1344"/>
      <c r="G84" s="1344"/>
      <c r="H84" s="1344"/>
    </row>
    <row r="85" spans="2:8" s="1285" customFormat="1" ht="21" customHeight="1">
      <c r="B85" s="1285" t="s">
        <v>2739</v>
      </c>
      <c r="C85" s="1559" t="s">
        <v>2747</v>
      </c>
      <c r="D85" s="1559"/>
      <c r="E85" s="1559"/>
      <c r="F85" s="1559"/>
      <c r="G85" s="1559"/>
      <c r="H85" s="1559"/>
    </row>
    <row r="86" spans="2:8" s="1285" customFormat="1" ht="23.25" customHeight="1">
      <c r="B86" s="1285" t="s">
        <v>2739</v>
      </c>
      <c r="C86" s="1559" t="s">
        <v>2748</v>
      </c>
      <c r="D86" s="1559"/>
      <c r="E86" s="1559"/>
      <c r="F86" s="1559"/>
      <c r="G86" s="1559"/>
      <c r="H86" s="1559"/>
    </row>
    <row r="87" spans="2:8" s="1285" customFormat="1" ht="46.5" customHeight="1">
      <c r="B87" s="1285" t="s">
        <v>2739</v>
      </c>
      <c r="C87" s="1559" t="s">
        <v>2749</v>
      </c>
      <c r="D87" s="1559"/>
      <c r="E87" s="1559"/>
      <c r="F87" s="1559"/>
      <c r="G87" s="1559"/>
      <c r="H87" s="1559"/>
    </row>
    <row r="88" spans="2:8" s="1285" customFormat="1" ht="10.2">
      <c r="B88" s="1285" t="s">
        <v>2739</v>
      </c>
      <c r="C88" s="1559" t="s">
        <v>2750</v>
      </c>
      <c r="D88" s="1559"/>
      <c r="E88" s="1559"/>
      <c r="F88" s="1559"/>
      <c r="G88" s="1559"/>
      <c r="H88" s="1559"/>
    </row>
    <row r="89" spans="2:8" s="1285" customFormat="1" ht="22.5" customHeight="1">
      <c r="B89" s="1285" t="s">
        <v>2739</v>
      </c>
      <c r="C89" s="1559" t="s">
        <v>2751</v>
      </c>
      <c r="D89" s="1559"/>
      <c r="E89" s="1559"/>
      <c r="F89" s="1559"/>
      <c r="G89" s="1559"/>
      <c r="H89" s="1559"/>
    </row>
    <row r="90" spans="2:8" s="1285" customFormat="1" ht="10.2">
      <c r="B90" s="1285" t="s">
        <v>2739</v>
      </c>
      <c r="C90" s="1559" t="s">
        <v>2752</v>
      </c>
      <c r="D90" s="1559"/>
      <c r="E90" s="1559"/>
      <c r="F90" s="1559"/>
      <c r="G90" s="1559"/>
      <c r="H90" s="1559"/>
    </row>
    <row r="91" spans="2:8" s="1285" customFormat="1" ht="22.5" customHeight="1">
      <c r="B91" s="1285" t="s">
        <v>2739</v>
      </c>
      <c r="C91" s="1559" t="s">
        <v>2753</v>
      </c>
      <c r="D91" s="1559"/>
      <c r="E91" s="1559"/>
      <c r="F91" s="1559"/>
      <c r="G91" s="1559"/>
      <c r="H91" s="1559"/>
    </row>
    <row r="92" spans="2:8" s="1285" customFormat="1" ht="21.75" customHeight="1">
      <c r="B92" s="1285" t="s">
        <v>2739</v>
      </c>
      <c r="C92" s="1559" t="s">
        <v>2754</v>
      </c>
      <c r="D92" s="1559"/>
      <c r="E92" s="1559"/>
      <c r="F92" s="1559"/>
      <c r="G92" s="1559"/>
      <c r="H92" s="1559"/>
    </row>
    <row r="93" spans="2:8" s="1285" customFormat="1" ht="22.5" customHeight="1">
      <c r="B93" s="1285" t="s">
        <v>2739</v>
      </c>
      <c r="C93" s="1559" t="s">
        <v>2755</v>
      </c>
      <c r="D93" s="1559"/>
      <c r="E93" s="1559"/>
      <c r="F93" s="1559"/>
      <c r="G93" s="1559"/>
      <c r="H93" s="1559"/>
    </row>
    <row r="94" spans="2:8" s="1285" customFormat="1" ht="22.5" customHeight="1">
      <c r="B94" s="1285" t="s">
        <v>2739</v>
      </c>
      <c r="C94" s="1559" t="s">
        <v>2756</v>
      </c>
      <c r="D94" s="1559"/>
      <c r="E94" s="1559"/>
      <c r="F94" s="1559"/>
      <c r="G94" s="1559"/>
      <c r="H94" s="1559"/>
    </row>
    <row r="95" spans="2:8" s="1285" customFormat="1" ht="22.5" customHeight="1">
      <c r="B95" s="1285" t="s">
        <v>2739</v>
      </c>
      <c r="C95" s="1559" t="s">
        <v>2757</v>
      </c>
      <c r="D95" s="1559"/>
      <c r="E95" s="1559"/>
      <c r="F95" s="1559"/>
      <c r="G95" s="1559"/>
      <c r="H95" s="1559"/>
    </row>
    <row r="96" spans="2:8" s="1285" customFormat="1" ht="22.5" customHeight="1">
      <c r="B96" s="1285" t="s">
        <v>2739</v>
      </c>
      <c r="C96" s="1559" t="s">
        <v>2758</v>
      </c>
      <c r="D96" s="1559"/>
      <c r="E96" s="1559"/>
      <c r="F96" s="1559"/>
      <c r="G96" s="1559"/>
      <c r="H96" s="1559"/>
    </row>
    <row r="97" spans="6:8" s="1285" customFormat="1" ht="10.2">
      <c r="F97" s="1344"/>
      <c r="G97" s="1344"/>
      <c r="H97" s="1344"/>
    </row>
    <row r="98" spans="2:8" s="1285" customFormat="1" ht="10.2">
      <c r="B98" s="1345" t="s">
        <v>2759</v>
      </c>
      <c r="F98" s="1344"/>
      <c r="G98" s="1344"/>
      <c r="H98" s="1344"/>
    </row>
    <row r="99" spans="2:8" s="1285" customFormat="1" ht="10.2">
      <c r="B99" s="1285" t="s">
        <v>2739</v>
      </c>
      <c r="C99" s="1285" t="s">
        <v>2760</v>
      </c>
      <c r="F99" s="1344"/>
      <c r="G99" s="1344"/>
      <c r="H99" s="1344"/>
    </row>
    <row r="100" spans="2:8" s="1285" customFormat="1" ht="10.2">
      <c r="B100" s="1285" t="s">
        <v>2739</v>
      </c>
      <c r="C100" s="1285" t="s">
        <v>2761</v>
      </c>
      <c r="F100" s="1344"/>
      <c r="G100" s="1344"/>
      <c r="H100" s="1344"/>
    </row>
    <row r="101" spans="2:8" s="1285" customFormat="1" ht="10.2">
      <c r="B101" s="1285" t="s">
        <v>2739</v>
      </c>
      <c r="C101" s="1285" t="s">
        <v>2762</v>
      </c>
      <c r="F101" s="1344"/>
      <c r="G101" s="1344"/>
      <c r="H101" s="1344"/>
    </row>
    <row r="102" spans="2:8" s="1285" customFormat="1" ht="10.2">
      <c r="B102" s="1285" t="s">
        <v>2739</v>
      </c>
      <c r="C102" s="1285" t="s">
        <v>2763</v>
      </c>
      <c r="F102" s="1344"/>
      <c r="G102" s="1344"/>
      <c r="H102" s="1344"/>
    </row>
  </sheetData>
  <mergeCells count="20">
    <mergeCell ref="F25:H25"/>
    <mergeCell ref="F26:H26"/>
    <mergeCell ref="F28:H28"/>
    <mergeCell ref="F19:H19"/>
    <mergeCell ref="F20:H20"/>
    <mergeCell ref="F22:H22"/>
    <mergeCell ref="C81:H81"/>
    <mergeCell ref="C85:H85"/>
    <mergeCell ref="C86:H86"/>
    <mergeCell ref="C87:H87"/>
    <mergeCell ref="C64:E65"/>
    <mergeCell ref="C93:H93"/>
    <mergeCell ref="C94:H94"/>
    <mergeCell ref="C95:H95"/>
    <mergeCell ref="C96:H96"/>
    <mergeCell ref="C88:H88"/>
    <mergeCell ref="C89:H89"/>
    <mergeCell ref="C90:H90"/>
    <mergeCell ref="C91:H91"/>
    <mergeCell ref="C92:H9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Z94"/>
  <sheetViews>
    <sheetView showGridLines="0" showZeros="0" workbookViewId="0" topLeftCell="A1">
      <selection activeCell="F8" sqref="F8:F18"/>
    </sheetView>
  </sheetViews>
  <sheetFormatPr defaultColWidth="9.125" defaultRowHeight="12.75"/>
  <cols>
    <col min="1" max="1" width="4.50390625" style="266" customWidth="1"/>
    <col min="2" max="2" width="11.50390625" style="266" customWidth="1"/>
    <col min="3" max="3" width="40.50390625" style="266" customWidth="1"/>
    <col min="4" max="4" width="5.50390625" style="266" customWidth="1"/>
    <col min="5" max="5" width="8.50390625" style="272" customWidth="1"/>
    <col min="6" max="6" width="9.875" style="266" customWidth="1"/>
    <col min="7" max="7" width="13.875" style="266" customWidth="1"/>
    <col min="8" max="11" width="9.125" style="266" customWidth="1"/>
    <col min="12" max="12" width="75.50390625" style="266" customWidth="1"/>
    <col min="13" max="13" width="45.375" style="266" customWidth="1"/>
    <col min="14" max="16384" width="9.125" style="266" customWidth="1"/>
  </cols>
  <sheetData>
    <row r="1" spans="1:7" ht="15.6">
      <c r="A1" s="1590" t="s">
        <v>127</v>
      </c>
      <c r="B1" s="1590"/>
      <c r="C1" s="1590"/>
      <c r="D1" s="1590"/>
      <c r="E1" s="1590"/>
      <c r="F1" s="1590"/>
      <c r="G1" s="1590"/>
    </row>
    <row r="2" spans="1:7" ht="14.25" customHeight="1" thickBot="1">
      <c r="A2" s="190"/>
      <c r="B2" s="191"/>
      <c r="C2" s="192"/>
      <c r="D2" s="192"/>
      <c r="E2" s="193"/>
      <c r="F2" s="192"/>
      <c r="G2" s="192"/>
    </row>
    <row r="3" spans="1:7" ht="13.8" thickTop="1">
      <c r="A3" s="1579" t="s">
        <v>2</v>
      </c>
      <c r="B3" s="1580"/>
      <c r="C3" s="102" t="e">
        <f>CONCATENATE(cislostavby," ",nazevstavby)</f>
        <v>#REF!</v>
      </c>
      <c r="D3" s="194"/>
      <c r="E3" s="195" t="s">
        <v>128</v>
      </c>
      <c r="F3" s="196">
        <f>'[2]Rekapitulace'!H1</f>
        <v>0</v>
      </c>
      <c r="G3" s="197"/>
    </row>
    <row r="4" spans="1:7" ht="13.8" thickBot="1">
      <c r="A4" s="1591" t="s">
        <v>79</v>
      </c>
      <c r="B4" s="1582"/>
      <c r="C4" s="96" t="e">
        <f>CONCATENATE(cisloobjektu," ",nazevobjektu)</f>
        <v>#REF!</v>
      </c>
      <c r="D4" s="198"/>
      <c r="E4" s="1592">
        <f>'[2]Rekapitulace'!G2</f>
        <v>0</v>
      </c>
      <c r="F4" s="1593"/>
      <c r="G4" s="1594"/>
    </row>
    <row r="5" spans="1:7" ht="13.8" thickTop="1">
      <c r="A5" s="199"/>
      <c r="B5" s="190"/>
      <c r="C5" s="190"/>
      <c r="D5" s="190"/>
      <c r="E5" s="200"/>
      <c r="F5" s="190"/>
      <c r="G5" s="201"/>
    </row>
    <row r="6" spans="1:7" ht="12.75">
      <c r="A6" s="202" t="s">
        <v>129</v>
      </c>
      <c r="B6" s="203" t="s">
        <v>130</v>
      </c>
      <c r="C6" s="203" t="s">
        <v>131</v>
      </c>
      <c r="D6" s="203" t="s">
        <v>132</v>
      </c>
      <c r="E6" s="204" t="s">
        <v>133</v>
      </c>
      <c r="F6" s="203" t="s">
        <v>134</v>
      </c>
      <c r="G6" s="205" t="s">
        <v>135</v>
      </c>
    </row>
    <row r="7" spans="1:15" ht="12.75">
      <c r="A7" s="207" t="s">
        <v>140</v>
      </c>
      <c r="B7" s="208" t="s">
        <v>141</v>
      </c>
      <c r="C7" s="209" t="s">
        <v>142</v>
      </c>
      <c r="D7" s="210"/>
      <c r="E7" s="211"/>
      <c r="F7" s="211"/>
      <c r="G7" s="212"/>
      <c r="H7" s="267"/>
      <c r="I7" s="267"/>
      <c r="O7" s="268">
        <v>1</v>
      </c>
    </row>
    <row r="8" spans="1:104" ht="12.75">
      <c r="A8" s="218">
        <v>1</v>
      </c>
      <c r="B8" s="219" t="s">
        <v>317</v>
      </c>
      <c r="C8" s="220" t="s">
        <v>318</v>
      </c>
      <c r="D8" s="221" t="s">
        <v>154</v>
      </c>
      <c r="E8" s="222">
        <v>29.4</v>
      </c>
      <c r="F8" s="222"/>
      <c r="G8" s="223">
        <f>E8*F8</f>
        <v>0</v>
      </c>
      <c r="O8" s="268">
        <v>2</v>
      </c>
      <c r="AA8" s="266">
        <v>1</v>
      </c>
      <c r="AB8" s="266">
        <v>1</v>
      </c>
      <c r="AC8" s="266">
        <v>1</v>
      </c>
      <c r="AZ8" s="266">
        <v>1</v>
      </c>
      <c r="BA8" s="266">
        <f>IF(AZ8=1,G8,0)</f>
        <v>0</v>
      </c>
      <c r="BB8" s="266">
        <f>IF(AZ8=2,G8,0)</f>
        <v>0</v>
      </c>
      <c r="BC8" s="266">
        <f>IF(AZ8=3,G8,0)</f>
        <v>0</v>
      </c>
      <c r="BD8" s="266">
        <f>IF(AZ8=4,G8,0)</f>
        <v>0</v>
      </c>
      <c r="BE8" s="266">
        <f>IF(AZ8=5,G8,0)</f>
        <v>0</v>
      </c>
      <c r="CA8" s="268">
        <v>1</v>
      </c>
      <c r="CB8" s="268">
        <v>1</v>
      </c>
      <c r="CZ8" s="266">
        <v>0</v>
      </c>
    </row>
    <row r="9" spans="1:15" ht="12.75">
      <c r="A9" s="226"/>
      <c r="B9" s="227"/>
      <c r="C9" s="1588" t="s">
        <v>319</v>
      </c>
      <c r="D9" s="1589"/>
      <c r="E9" s="228">
        <v>29.4</v>
      </c>
      <c r="F9" s="229"/>
      <c r="G9" s="230"/>
      <c r="M9" s="234" t="s">
        <v>319</v>
      </c>
      <c r="O9" s="268"/>
    </row>
    <row r="10" spans="1:104" ht="12.75">
      <c r="A10" s="218">
        <v>2</v>
      </c>
      <c r="B10" s="219" t="s">
        <v>320</v>
      </c>
      <c r="C10" s="220" t="s">
        <v>321</v>
      </c>
      <c r="D10" s="221" t="s">
        <v>154</v>
      </c>
      <c r="E10" s="222">
        <v>213.48</v>
      </c>
      <c r="F10" s="222"/>
      <c r="G10" s="223">
        <f>E10*F10</f>
        <v>0</v>
      </c>
      <c r="O10" s="268">
        <v>2</v>
      </c>
      <c r="AA10" s="266">
        <v>1</v>
      </c>
      <c r="AB10" s="266">
        <v>1</v>
      </c>
      <c r="AC10" s="266">
        <v>1</v>
      </c>
      <c r="AZ10" s="266">
        <v>1</v>
      </c>
      <c r="BA10" s="266">
        <f>IF(AZ10=1,G10,0)</f>
        <v>0</v>
      </c>
      <c r="BB10" s="266">
        <f>IF(AZ10=2,G10,0)</f>
        <v>0</v>
      </c>
      <c r="BC10" s="266">
        <f>IF(AZ10=3,G10,0)</f>
        <v>0</v>
      </c>
      <c r="BD10" s="266">
        <f>IF(AZ10=4,G10,0)</f>
        <v>0</v>
      </c>
      <c r="BE10" s="266">
        <f>IF(AZ10=5,G10,0)</f>
        <v>0</v>
      </c>
      <c r="CA10" s="268">
        <v>1</v>
      </c>
      <c r="CB10" s="268">
        <v>1</v>
      </c>
      <c r="CZ10" s="266">
        <v>0</v>
      </c>
    </row>
    <row r="11" spans="1:15" ht="12.75">
      <c r="A11" s="226"/>
      <c r="B11" s="227"/>
      <c r="C11" s="1588" t="s">
        <v>322</v>
      </c>
      <c r="D11" s="1589"/>
      <c r="E11" s="228">
        <v>213.48</v>
      </c>
      <c r="F11" s="229"/>
      <c r="G11" s="230"/>
      <c r="M11" s="234" t="s">
        <v>322</v>
      </c>
      <c r="O11" s="268"/>
    </row>
    <row r="12" spans="1:104" ht="20.4">
      <c r="A12" s="218">
        <v>3</v>
      </c>
      <c r="B12" s="219" t="s">
        <v>323</v>
      </c>
      <c r="C12" s="220" t="s">
        <v>324</v>
      </c>
      <c r="D12" s="221" t="s">
        <v>154</v>
      </c>
      <c r="E12" s="222">
        <v>70.95</v>
      </c>
      <c r="F12" s="222"/>
      <c r="G12" s="223">
        <f>E12*F12</f>
        <v>0</v>
      </c>
      <c r="O12" s="268">
        <v>2</v>
      </c>
      <c r="AA12" s="266">
        <v>1</v>
      </c>
      <c r="AB12" s="266">
        <v>1</v>
      </c>
      <c r="AC12" s="266">
        <v>1</v>
      </c>
      <c r="AZ12" s="266">
        <v>1</v>
      </c>
      <c r="BA12" s="266">
        <f>IF(AZ12=1,G12,0)</f>
        <v>0</v>
      </c>
      <c r="BB12" s="266">
        <f>IF(AZ12=2,G12,0)</f>
        <v>0</v>
      </c>
      <c r="BC12" s="266">
        <f>IF(AZ12=3,G12,0)</f>
        <v>0</v>
      </c>
      <c r="BD12" s="266">
        <f>IF(AZ12=4,G12,0)</f>
        <v>0</v>
      </c>
      <c r="BE12" s="266">
        <f>IF(AZ12=5,G12,0)</f>
        <v>0</v>
      </c>
      <c r="CA12" s="268">
        <v>1</v>
      </c>
      <c r="CB12" s="268">
        <v>1</v>
      </c>
      <c r="CZ12" s="266">
        <v>0</v>
      </c>
    </row>
    <row r="13" spans="1:15" ht="12.75">
      <c r="A13" s="226"/>
      <c r="B13" s="227"/>
      <c r="C13" s="1588" t="s">
        <v>325</v>
      </c>
      <c r="D13" s="1589"/>
      <c r="E13" s="228">
        <v>70.95</v>
      </c>
      <c r="F13" s="229"/>
      <c r="G13" s="230"/>
      <c r="M13" s="234" t="s">
        <v>325</v>
      </c>
      <c r="O13" s="268"/>
    </row>
    <row r="14" spans="1:104" ht="12.75">
      <c r="A14" s="218">
        <v>4</v>
      </c>
      <c r="B14" s="219" t="s">
        <v>162</v>
      </c>
      <c r="C14" s="220" t="s">
        <v>163</v>
      </c>
      <c r="D14" s="221" t="s">
        <v>154</v>
      </c>
      <c r="E14" s="222">
        <v>70.95</v>
      </c>
      <c r="F14" s="222"/>
      <c r="G14" s="223">
        <f>E14*F14</f>
        <v>0</v>
      </c>
      <c r="O14" s="268">
        <v>2</v>
      </c>
      <c r="AA14" s="266">
        <v>1</v>
      </c>
      <c r="AB14" s="266">
        <v>1</v>
      </c>
      <c r="AC14" s="266">
        <v>1</v>
      </c>
      <c r="AZ14" s="266">
        <v>1</v>
      </c>
      <c r="BA14" s="266">
        <f>IF(AZ14=1,G14,0)</f>
        <v>0</v>
      </c>
      <c r="BB14" s="266">
        <f>IF(AZ14=2,G14,0)</f>
        <v>0</v>
      </c>
      <c r="BC14" s="266">
        <f>IF(AZ14=3,G14,0)</f>
        <v>0</v>
      </c>
      <c r="BD14" s="266">
        <f>IF(AZ14=4,G14,0)</f>
        <v>0</v>
      </c>
      <c r="BE14" s="266">
        <f>IF(AZ14=5,G14,0)</f>
        <v>0</v>
      </c>
      <c r="CA14" s="268">
        <v>1</v>
      </c>
      <c r="CB14" s="268">
        <v>1</v>
      </c>
      <c r="CZ14" s="266">
        <v>0</v>
      </c>
    </row>
    <row r="15" spans="1:15" ht="12.75">
      <c r="A15" s="226"/>
      <c r="B15" s="227"/>
      <c r="C15" s="1588" t="s">
        <v>326</v>
      </c>
      <c r="D15" s="1589"/>
      <c r="E15" s="228">
        <v>70.95</v>
      </c>
      <c r="F15" s="229"/>
      <c r="G15" s="230"/>
      <c r="M15" s="234" t="s">
        <v>326</v>
      </c>
      <c r="O15" s="268"/>
    </row>
    <row r="16" spans="1:104" ht="12.75">
      <c r="A16" s="218">
        <v>5</v>
      </c>
      <c r="B16" s="219" t="s">
        <v>327</v>
      </c>
      <c r="C16" s="220" t="s">
        <v>328</v>
      </c>
      <c r="D16" s="221" t="s">
        <v>154</v>
      </c>
      <c r="E16" s="222">
        <v>70.95</v>
      </c>
      <c r="F16" s="222"/>
      <c r="G16" s="223">
        <f>E16*F16</f>
        <v>0</v>
      </c>
      <c r="O16" s="268">
        <v>2</v>
      </c>
      <c r="AA16" s="266">
        <v>1</v>
      </c>
      <c r="AB16" s="266">
        <v>1</v>
      </c>
      <c r="AC16" s="266">
        <v>1</v>
      </c>
      <c r="AZ16" s="266">
        <v>1</v>
      </c>
      <c r="BA16" s="266">
        <f>IF(AZ16=1,G16,0)</f>
        <v>0</v>
      </c>
      <c r="BB16" s="266">
        <f>IF(AZ16=2,G16,0)</f>
        <v>0</v>
      </c>
      <c r="BC16" s="266">
        <f>IF(AZ16=3,G16,0)</f>
        <v>0</v>
      </c>
      <c r="BD16" s="266">
        <f>IF(AZ16=4,G16,0)</f>
        <v>0</v>
      </c>
      <c r="BE16" s="266">
        <f>IF(AZ16=5,G16,0)</f>
        <v>0</v>
      </c>
      <c r="CA16" s="268">
        <v>1</v>
      </c>
      <c r="CB16" s="268">
        <v>1</v>
      </c>
      <c r="CZ16" s="266">
        <v>0</v>
      </c>
    </row>
    <row r="17" spans="1:15" ht="12.75">
      <c r="A17" s="226"/>
      <c r="B17" s="227"/>
      <c r="C17" s="1588" t="s">
        <v>326</v>
      </c>
      <c r="D17" s="1589"/>
      <c r="E17" s="228">
        <v>70.95</v>
      </c>
      <c r="F17" s="229"/>
      <c r="G17" s="230"/>
      <c r="M17" s="234" t="s">
        <v>326</v>
      </c>
      <c r="O17" s="268"/>
    </row>
    <row r="18" spans="1:104" ht="12.75">
      <c r="A18" s="218">
        <v>6</v>
      </c>
      <c r="B18" s="219" t="s">
        <v>329</v>
      </c>
      <c r="C18" s="220" t="s">
        <v>330</v>
      </c>
      <c r="D18" s="221" t="s">
        <v>154</v>
      </c>
      <c r="E18" s="222">
        <v>171.93</v>
      </c>
      <c r="F18" s="222"/>
      <c r="G18" s="223">
        <f>E18*F18</f>
        <v>0</v>
      </c>
      <c r="O18" s="268">
        <v>2</v>
      </c>
      <c r="AA18" s="266">
        <v>1</v>
      </c>
      <c r="AB18" s="266">
        <v>0</v>
      </c>
      <c r="AC18" s="266">
        <v>0</v>
      </c>
      <c r="AZ18" s="266">
        <v>1</v>
      </c>
      <c r="BA18" s="266">
        <f>IF(AZ18=1,G18,0)</f>
        <v>0</v>
      </c>
      <c r="BB18" s="266">
        <f>IF(AZ18=2,G18,0)</f>
        <v>0</v>
      </c>
      <c r="BC18" s="266">
        <f>IF(AZ18=3,G18,0)</f>
        <v>0</v>
      </c>
      <c r="BD18" s="266">
        <f>IF(AZ18=4,G18,0)</f>
        <v>0</v>
      </c>
      <c r="BE18" s="266">
        <f>IF(AZ18=5,G18,0)</f>
        <v>0</v>
      </c>
      <c r="CA18" s="268">
        <v>1</v>
      </c>
      <c r="CB18" s="268">
        <v>0</v>
      </c>
      <c r="CZ18" s="266">
        <v>0</v>
      </c>
    </row>
    <row r="19" spans="1:15" ht="12.75">
      <c r="A19" s="226"/>
      <c r="B19" s="227"/>
      <c r="C19" s="1588" t="s">
        <v>331</v>
      </c>
      <c r="D19" s="1589"/>
      <c r="E19" s="228">
        <v>151.7175</v>
      </c>
      <c r="F19" s="229"/>
      <c r="G19" s="230"/>
      <c r="M19" s="234" t="s">
        <v>331</v>
      </c>
      <c r="O19" s="268"/>
    </row>
    <row r="20" spans="1:15" ht="12.75">
      <c r="A20" s="226"/>
      <c r="B20" s="227"/>
      <c r="C20" s="1588" t="s">
        <v>332</v>
      </c>
      <c r="D20" s="1589"/>
      <c r="E20" s="228">
        <v>20.2125</v>
      </c>
      <c r="F20" s="229"/>
      <c r="G20" s="230"/>
      <c r="M20" s="234" t="s">
        <v>332</v>
      </c>
      <c r="O20" s="268"/>
    </row>
    <row r="21" spans="1:57" ht="12.75">
      <c r="A21" s="236"/>
      <c r="B21" s="237" t="s">
        <v>175</v>
      </c>
      <c r="C21" s="238" t="str">
        <f>CONCATENATE(B7," ",C7)</f>
        <v>1 Zemní práce</v>
      </c>
      <c r="D21" s="239"/>
      <c r="E21" s="240"/>
      <c r="F21" s="241"/>
      <c r="G21" s="242">
        <f>SUM(G7:G20)</f>
        <v>0</v>
      </c>
      <c r="O21" s="268">
        <v>4</v>
      </c>
      <c r="BA21" s="269">
        <f>SUM(BA7:BA20)</f>
        <v>0</v>
      </c>
      <c r="BB21" s="269">
        <f>SUM(BB7:BB20)</f>
        <v>0</v>
      </c>
      <c r="BC21" s="269">
        <f>SUM(BC7:BC20)</f>
        <v>0</v>
      </c>
      <c r="BD21" s="269">
        <f>SUM(BD7:BD20)</f>
        <v>0</v>
      </c>
      <c r="BE21" s="269">
        <f>SUM(BE7:BE20)</f>
        <v>0</v>
      </c>
    </row>
    <row r="22" ht="12.75">
      <c r="E22" s="266"/>
    </row>
    <row r="23" ht="12.75">
      <c r="E23" s="266"/>
    </row>
    <row r="24" ht="12.75">
      <c r="E24" s="266"/>
    </row>
    <row r="25" ht="12.75">
      <c r="E25" s="266"/>
    </row>
    <row r="26" ht="12.75">
      <c r="E26" s="266"/>
    </row>
    <row r="27" ht="12.75">
      <c r="E27" s="266"/>
    </row>
    <row r="28" ht="12.75">
      <c r="E28" s="266"/>
    </row>
    <row r="29" ht="12.75">
      <c r="E29" s="266"/>
    </row>
    <row r="30" ht="12.75">
      <c r="E30" s="266"/>
    </row>
    <row r="31" ht="12.75">
      <c r="E31" s="266"/>
    </row>
    <row r="32" ht="12.75">
      <c r="E32" s="266"/>
    </row>
    <row r="33" ht="12.75">
      <c r="E33" s="266"/>
    </row>
    <row r="34" ht="12.75">
      <c r="E34" s="266"/>
    </row>
    <row r="35" ht="12.75">
      <c r="E35" s="266"/>
    </row>
    <row r="36" ht="12.75">
      <c r="E36" s="266"/>
    </row>
    <row r="37" ht="12.75">
      <c r="E37" s="266"/>
    </row>
    <row r="38" ht="12.75">
      <c r="E38" s="266"/>
    </row>
    <row r="39" ht="12.75">
      <c r="E39" s="266"/>
    </row>
    <row r="40" ht="12.75">
      <c r="E40" s="266"/>
    </row>
    <row r="41" ht="12.75">
      <c r="E41" s="266"/>
    </row>
    <row r="42" ht="12.75">
      <c r="E42" s="266"/>
    </row>
    <row r="43" ht="12.75">
      <c r="E43" s="266"/>
    </row>
    <row r="44" ht="12.75">
      <c r="E44" s="266"/>
    </row>
    <row r="45" spans="1:7" ht="12.75">
      <c r="A45" s="270"/>
      <c r="B45" s="270"/>
      <c r="C45" s="270"/>
      <c r="D45" s="270"/>
      <c r="E45" s="270"/>
      <c r="F45" s="270"/>
      <c r="G45" s="270"/>
    </row>
    <row r="46" spans="1:7" ht="12.75">
      <c r="A46" s="270"/>
      <c r="B46" s="270"/>
      <c r="C46" s="270"/>
      <c r="D46" s="270"/>
      <c r="E46" s="270"/>
      <c r="F46" s="270"/>
      <c r="G46" s="270"/>
    </row>
    <row r="47" spans="1:7" ht="12.75">
      <c r="A47" s="270"/>
      <c r="B47" s="270"/>
      <c r="C47" s="270"/>
      <c r="D47" s="270"/>
      <c r="E47" s="270"/>
      <c r="F47" s="270"/>
      <c r="G47" s="270"/>
    </row>
    <row r="48" spans="1:7" ht="12.75">
      <c r="A48" s="270"/>
      <c r="B48" s="270"/>
      <c r="C48" s="270"/>
      <c r="D48" s="270"/>
      <c r="E48" s="270"/>
      <c r="F48" s="270"/>
      <c r="G48" s="270"/>
    </row>
    <row r="49" ht="12.75">
      <c r="E49" s="266"/>
    </row>
    <row r="50" ht="12.75">
      <c r="E50" s="266"/>
    </row>
    <row r="51" ht="12.75">
      <c r="E51" s="266"/>
    </row>
    <row r="52" ht="12.75">
      <c r="E52" s="266"/>
    </row>
    <row r="53" ht="12.75">
      <c r="E53" s="266"/>
    </row>
    <row r="54" ht="12.75">
      <c r="E54" s="266"/>
    </row>
    <row r="55" ht="12.75">
      <c r="E55" s="266"/>
    </row>
    <row r="56" ht="12.75">
      <c r="E56" s="266"/>
    </row>
    <row r="57" ht="12.75">
      <c r="E57" s="266"/>
    </row>
    <row r="58" ht="12.75">
      <c r="E58" s="266"/>
    </row>
    <row r="59" ht="12.75">
      <c r="E59" s="266"/>
    </row>
    <row r="60" ht="12.75">
      <c r="E60" s="266"/>
    </row>
    <row r="61" ht="12.75">
      <c r="E61" s="266"/>
    </row>
    <row r="62" ht="12.75">
      <c r="E62" s="266"/>
    </row>
    <row r="63" ht="12.75">
      <c r="E63" s="266"/>
    </row>
    <row r="64" ht="12.75">
      <c r="E64" s="266"/>
    </row>
    <row r="65" ht="12.75">
      <c r="E65" s="266"/>
    </row>
    <row r="66" ht="12.75">
      <c r="E66" s="266"/>
    </row>
    <row r="67" ht="12.75">
      <c r="E67" s="266"/>
    </row>
    <row r="68" ht="12.75">
      <c r="E68" s="266"/>
    </row>
    <row r="69" ht="12.75">
      <c r="E69" s="266"/>
    </row>
    <row r="70" ht="12.75">
      <c r="E70" s="266"/>
    </row>
    <row r="71" ht="12.75">
      <c r="E71" s="266"/>
    </row>
    <row r="72" ht="12.75">
      <c r="E72" s="266"/>
    </row>
    <row r="73" ht="12.75">
      <c r="E73" s="266"/>
    </row>
    <row r="74" ht="12.75">
      <c r="E74" s="266"/>
    </row>
    <row r="75" ht="12.75">
      <c r="E75" s="266"/>
    </row>
    <row r="76" ht="12.75">
      <c r="E76" s="266"/>
    </row>
    <row r="77" ht="12.75">
      <c r="E77" s="266"/>
    </row>
    <row r="78" ht="12.75">
      <c r="E78" s="266"/>
    </row>
    <row r="79" ht="12.75">
      <c r="E79" s="266"/>
    </row>
    <row r="80" spans="1:2" ht="12.75">
      <c r="A80" s="271"/>
      <c r="B80" s="271"/>
    </row>
    <row r="81" spans="1:7" ht="12.75">
      <c r="A81" s="270"/>
      <c r="B81" s="270"/>
      <c r="C81" s="273"/>
      <c r="D81" s="273"/>
      <c r="E81" s="274"/>
      <c r="F81" s="273"/>
      <c r="G81" s="275"/>
    </row>
    <row r="82" spans="1:7" ht="12.75">
      <c r="A82" s="276"/>
      <c r="B82" s="276"/>
      <c r="C82" s="270"/>
      <c r="D82" s="270"/>
      <c r="E82" s="277"/>
      <c r="F82" s="270"/>
      <c r="G82" s="270"/>
    </row>
    <row r="83" spans="1:7" ht="12.75">
      <c r="A83" s="270"/>
      <c r="B83" s="270"/>
      <c r="C83" s="270"/>
      <c r="D83" s="270"/>
      <c r="E83" s="277"/>
      <c r="F83" s="270"/>
      <c r="G83" s="270"/>
    </row>
    <row r="84" spans="1:7" ht="12.75">
      <c r="A84" s="270"/>
      <c r="B84" s="270"/>
      <c r="C84" s="270"/>
      <c r="D84" s="270"/>
      <c r="E84" s="277"/>
      <c r="F84" s="270"/>
      <c r="G84" s="270"/>
    </row>
    <row r="85" spans="1:7" ht="12.75">
      <c r="A85" s="270"/>
      <c r="B85" s="270"/>
      <c r="C85" s="270"/>
      <c r="D85" s="270"/>
      <c r="E85" s="277"/>
      <c r="F85" s="270"/>
      <c r="G85" s="270"/>
    </row>
    <row r="86" spans="1:7" ht="12.75">
      <c r="A86" s="270"/>
      <c r="B86" s="270"/>
      <c r="C86" s="270"/>
      <c r="D86" s="270"/>
      <c r="E86" s="277"/>
      <c r="F86" s="270"/>
      <c r="G86" s="270"/>
    </row>
    <row r="87" spans="1:7" ht="12.75">
      <c r="A87" s="270"/>
      <c r="B87" s="270"/>
      <c r="C87" s="270"/>
      <c r="D87" s="270"/>
      <c r="E87" s="277"/>
      <c r="F87" s="270"/>
      <c r="G87" s="270"/>
    </row>
    <row r="88" spans="1:7" ht="12.75">
      <c r="A88" s="270"/>
      <c r="B88" s="270"/>
      <c r="C88" s="270"/>
      <c r="D88" s="270"/>
      <c r="E88" s="277"/>
      <c r="F88" s="270"/>
      <c r="G88" s="270"/>
    </row>
    <row r="89" spans="1:7" ht="12.75">
      <c r="A89" s="270"/>
      <c r="B89" s="270"/>
      <c r="C89" s="270"/>
      <c r="D89" s="270"/>
      <c r="E89" s="277"/>
      <c r="F89" s="270"/>
      <c r="G89" s="270"/>
    </row>
    <row r="90" spans="1:7" ht="12.75">
      <c r="A90" s="270"/>
      <c r="B90" s="270"/>
      <c r="C90" s="270"/>
      <c r="D90" s="270"/>
      <c r="E90" s="277"/>
      <c r="F90" s="270"/>
      <c r="G90" s="270"/>
    </row>
    <row r="91" spans="1:7" ht="12.75">
      <c r="A91" s="270"/>
      <c r="B91" s="270"/>
      <c r="C91" s="270"/>
      <c r="D91" s="270"/>
      <c r="E91" s="277"/>
      <c r="F91" s="270"/>
      <c r="G91" s="270"/>
    </row>
    <row r="92" spans="1:7" ht="12.75">
      <c r="A92" s="270"/>
      <c r="B92" s="270"/>
      <c r="C92" s="270"/>
      <c r="D92" s="270"/>
      <c r="E92" s="277"/>
      <c r="F92" s="270"/>
      <c r="G92" s="270"/>
    </row>
    <row r="93" spans="1:7" ht="12.75">
      <c r="A93" s="270"/>
      <c r="B93" s="270"/>
      <c r="C93" s="270"/>
      <c r="D93" s="270"/>
      <c r="E93" s="277"/>
      <c r="F93" s="270"/>
      <c r="G93" s="270"/>
    </row>
    <row r="94" spans="1:7" ht="12.75">
      <c r="A94" s="270"/>
      <c r="B94" s="270"/>
      <c r="C94" s="270"/>
      <c r="D94" s="270"/>
      <c r="E94" s="277"/>
      <c r="F94" s="270"/>
      <c r="G94" s="270"/>
    </row>
  </sheetData>
  <mergeCells count="11">
    <mergeCell ref="C13:D13"/>
    <mergeCell ref="C15:D15"/>
    <mergeCell ref="C17:D17"/>
    <mergeCell ref="C19:D19"/>
    <mergeCell ref="C20:D20"/>
    <mergeCell ref="C11:D11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BE51"/>
  <sheetViews>
    <sheetView workbookViewId="0" topLeftCell="A1">
      <selection activeCell="C15" sqref="C15"/>
    </sheetView>
  </sheetViews>
  <sheetFormatPr defaultColWidth="9.125" defaultRowHeight="12.75"/>
  <cols>
    <col min="1" max="1" width="2.00390625" style="288" customWidth="1"/>
    <col min="2" max="2" width="15.00390625" style="288" customWidth="1"/>
    <col min="3" max="3" width="15.875" style="288" customWidth="1"/>
    <col min="4" max="4" width="14.50390625" style="288" customWidth="1"/>
    <col min="5" max="5" width="13.50390625" style="288" customWidth="1"/>
    <col min="6" max="6" width="16.50390625" style="288" customWidth="1"/>
    <col min="7" max="7" width="15.375" style="288" customWidth="1"/>
    <col min="8" max="16384" width="9.125" style="288" customWidth="1"/>
  </cols>
  <sheetData>
    <row r="1" spans="1:7" ht="24.75" customHeight="1" thickBot="1">
      <c r="A1" s="286" t="s">
        <v>126</v>
      </c>
      <c r="B1" s="287"/>
      <c r="C1" s="287"/>
      <c r="D1" s="287"/>
      <c r="E1" s="287"/>
      <c r="F1" s="287"/>
      <c r="G1" s="287"/>
    </row>
    <row r="2" spans="1:7" ht="12.75" customHeight="1">
      <c r="A2" s="289" t="s">
        <v>125</v>
      </c>
      <c r="B2" s="290"/>
      <c r="C2" s="291" t="s">
        <v>80</v>
      </c>
      <c r="D2" s="291" t="s">
        <v>77</v>
      </c>
      <c r="E2" s="292"/>
      <c r="F2" s="293" t="s">
        <v>124</v>
      </c>
      <c r="G2" s="294"/>
    </row>
    <row r="3" spans="1:7" ht="3" customHeight="1" hidden="1">
      <c r="A3" s="295"/>
      <c r="B3" s="296"/>
      <c r="C3" s="297"/>
      <c r="D3" s="297"/>
      <c r="E3" s="298"/>
      <c r="F3" s="299"/>
      <c r="G3" s="300"/>
    </row>
    <row r="4" spans="1:7" ht="12" customHeight="1">
      <c r="A4" s="301" t="s">
        <v>123</v>
      </c>
      <c r="B4" s="296"/>
      <c r="C4" s="297"/>
      <c r="D4" s="297"/>
      <c r="E4" s="298"/>
      <c r="F4" s="299" t="s">
        <v>122</v>
      </c>
      <c r="G4" s="302"/>
    </row>
    <row r="5" spans="1:7" ht="12.9" customHeight="1">
      <c r="A5" s="303" t="s">
        <v>16</v>
      </c>
      <c r="B5" s="304"/>
      <c r="C5" s="305" t="s">
        <v>17</v>
      </c>
      <c r="D5" s="306"/>
      <c r="E5" s="304"/>
      <c r="F5" s="299" t="s">
        <v>121</v>
      </c>
      <c r="G5" s="300"/>
    </row>
    <row r="6" spans="1:15" ht="12.9" customHeight="1">
      <c r="A6" s="301" t="s">
        <v>120</v>
      </c>
      <c r="B6" s="296"/>
      <c r="C6" s="297"/>
      <c r="D6" s="297"/>
      <c r="E6" s="298"/>
      <c r="F6" s="307" t="s">
        <v>119</v>
      </c>
      <c r="G6" s="308">
        <v>0</v>
      </c>
      <c r="O6" s="309"/>
    </row>
    <row r="7" spans="1:7" ht="12.9" customHeight="1">
      <c r="A7" s="310" t="s">
        <v>12</v>
      </c>
      <c r="B7" s="311"/>
      <c r="C7" s="312" t="s">
        <v>13</v>
      </c>
      <c r="D7" s="313"/>
      <c r="E7" s="313"/>
      <c r="F7" s="314" t="s">
        <v>118</v>
      </c>
      <c r="G7" s="308">
        <f>IF(G6=0,,ROUND((F30+F32)/G6,1))</f>
        <v>0</v>
      </c>
    </row>
    <row r="8" spans="1:9" ht="12.75">
      <c r="A8" s="315" t="s">
        <v>117</v>
      </c>
      <c r="B8" s="299"/>
      <c r="C8" s="1603"/>
      <c r="D8" s="1603"/>
      <c r="E8" s="1604"/>
      <c r="F8" s="316" t="s">
        <v>116</v>
      </c>
      <c r="G8" s="317"/>
      <c r="H8" s="318"/>
      <c r="I8" s="319"/>
    </row>
    <row r="9" spans="1:8" ht="12.75">
      <c r="A9" s="315" t="s">
        <v>115</v>
      </c>
      <c r="B9" s="299"/>
      <c r="C9" s="1603"/>
      <c r="D9" s="1603"/>
      <c r="E9" s="1604"/>
      <c r="F9" s="299"/>
      <c r="G9" s="320"/>
      <c r="H9" s="321"/>
    </row>
    <row r="10" spans="1:8" ht="12.75">
      <c r="A10" s="315" t="s">
        <v>114</v>
      </c>
      <c r="B10" s="299"/>
      <c r="C10" s="1603"/>
      <c r="D10" s="1603"/>
      <c r="E10" s="1603"/>
      <c r="F10" s="322"/>
      <c r="G10" s="323"/>
      <c r="H10" s="324"/>
    </row>
    <row r="11" spans="1:57" ht="13.5" customHeight="1">
      <c r="A11" s="315" t="s">
        <v>113</v>
      </c>
      <c r="B11" s="299"/>
      <c r="C11" s="1603"/>
      <c r="D11" s="1603"/>
      <c r="E11" s="1603"/>
      <c r="F11" s="325" t="s">
        <v>112</v>
      </c>
      <c r="G11" s="326"/>
      <c r="H11" s="321"/>
      <c r="BA11" s="327"/>
      <c r="BB11" s="327"/>
      <c r="BC11" s="327"/>
      <c r="BD11" s="327"/>
      <c r="BE11" s="327"/>
    </row>
    <row r="12" spans="1:8" ht="12.75" customHeight="1">
      <c r="A12" s="328" t="s">
        <v>111</v>
      </c>
      <c r="B12" s="296"/>
      <c r="C12" s="1605"/>
      <c r="D12" s="1605"/>
      <c r="E12" s="1605"/>
      <c r="F12" s="329" t="s">
        <v>110</v>
      </c>
      <c r="G12" s="330"/>
      <c r="H12" s="321"/>
    </row>
    <row r="13" spans="1:8" ht="28.5" customHeight="1" thickBot="1">
      <c r="A13" s="331" t="s">
        <v>109</v>
      </c>
      <c r="B13" s="332"/>
      <c r="C13" s="332"/>
      <c r="D13" s="332"/>
      <c r="E13" s="333"/>
      <c r="F13" s="333"/>
      <c r="G13" s="334"/>
      <c r="H13" s="321"/>
    </row>
    <row r="14" spans="1:7" ht="17.25" customHeight="1" thickBot="1">
      <c r="A14" s="335" t="s">
        <v>108</v>
      </c>
      <c r="B14" s="336"/>
      <c r="C14" s="337"/>
      <c r="D14" s="338" t="s">
        <v>107</v>
      </c>
      <c r="E14" s="339"/>
      <c r="F14" s="339"/>
      <c r="G14" s="337"/>
    </row>
    <row r="15" spans="1:7" ht="15.9" customHeight="1">
      <c r="A15" s="340"/>
      <c r="B15" s="341" t="s">
        <v>106</v>
      </c>
      <c r="C15" s="342">
        <f>'r03R'!E10</f>
        <v>0</v>
      </c>
      <c r="D15" s="343" t="str">
        <f>'r03R'!A15</f>
        <v>Ztížené výrobní podmínky</v>
      </c>
      <c r="E15" s="344"/>
      <c r="F15" s="345"/>
      <c r="G15" s="342">
        <f>'r03R'!I15</f>
        <v>0</v>
      </c>
    </row>
    <row r="16" spans="1:7" ht="15.9" customHeight="1">
      <c r="A16" s="340" t="s">
        <v>105</v>
      </c>
      <c r="B16" s="341" t="s">
        <v>104</v>
      </c>
      <c r="C16" s="342">
        <f>'r03R'!F10</f>
        <v>0</v>
      </c>
      <c r="D16" s="295" t="str">
        <f>'r03R'!A16</f>
        <v>Oborová přirážka</v>
      </c>
      <c r="E16" s="346"/>
      <c r="F16" s="347"/>
      <c r="G16" s="342">
        <f>'r03R'!I16</f>
        <v>0</v>
      </c>
    </row>
    <row r="17" spans="1:7" ht="15.9" customHeight="1">
      <c r="A17" s="340" t="s">
        <v>103</v>
      </c>
      <c r="B17" s="341" t="s">
        <v>102</v>
      </c>
      <c r="C17" s="342">
        <f>'r03R'!H10</f>
        <v>0</v>
      </c>
      <c r="D17" s="295" t="str">
        <f>'r03R'!A17</f>
        <v>Přesun stavebních kapacit</v>
      </c>
      <c r="E17" s="346"/>
      <c r="F17" s="347"/>
      <c r="G17" s="342">
        <f>'r03R'!I17</f>
        <v>0</v>
      </c>
    </row>
    <row r="18" spans="1:7" ht="15.9" customHeight="1">
      <c r="A18" s="348" t="s">
        <v>101</v>
      </c>
      <c r="B18" s="349" t="s">
        <v>100</v>
      </c>
      <c r="C18" s="342">
        <f>'r03R'!G10</f>
        <v>0</v>
      </c>
      <c r="D18" s="295" t="str">
        <f>'r03R'!A18</f>
        <v>Mimostaveništní doprava</v>
      </c>
      <c r="E18" s="346"/>
      <c r="F18" s="347"/>
      <c r="G18" s="342">
        <f>'r03R'!I18</f>
        <v>0</v>
      </c>
    </row>
    <row r="19" spans="1:7" ht="15.9" customHeight="1">
      <c r="A19" s="350" t="s">
        <v>99</v>
      </c>
      <c r="B19" s="341"/>
      <c r="C19" s="342">
        <f>SUM(C15:C18)</f>
        <v>0</v>
      </c>
      <c r="D19" s="295" t="str">
        <f>'r03R'!A19</f>
        <v>Zařízení staveniště</v>
      </c>
      <c r="E19" s="346"/>
      <c r="F19" s="347"/>
      <c r="G19" s="342">
        <f>'r03R'!I19</f>
        <v>0</v>
      </c>
    </row>
    <row r="20" spans="1:7" ht="15.9" customHeight="1">
      <c r="A20" s="350"/>
      <c r="B20" s="341"/>
      <c r="C20" s="342"/>
      <c r="D20" s="295" t="str">
        <f>'r03R'!A20</f>
        <v>Provoz investora</v>
      </c>
      <c r="E20" s="346"/>
      <c r="F20" s="347"/>
      <c r="G20" s="342">
        <f>'r03R'!I20</f>
        <v>0</v>
      </c>
    </row>
    <row r="21" spans="1:7" ht="15.9" customHeight="1">
      <c r="A21" s="350" t="s">
        <v>70</v>
      </c>
      <c r="B21" s="341"/>
      <c r="C21" s="342">
        <f>'r03R'!I10</f>
        <v>0</v>
      </c>
      <c r="D21" s="295" t="str">
        <f>'r03R'!A21</f>
        <v>Kompletační činnost (IČD)</v>
      </c>
      <c r="E21" s="346"/>
      <c r="F21" s="347"/>
      <c r="G21" s="342">
        <f>'r03R'!I21</f>
        <v>0</v>
      </c>
    </row>
    <row r="22" spans="1:7" ht="15.9" customHeight="1">
      <c r="A22" s="351" t="s">
        <v>98</v>
      </c>
      <c r="B22" s="321"/>
      <c r="C22" s="342">
        <f>C19+C21</f>
        <v>0</v>
      </c>
      <c r="D22" s="295" t="s">
        <v>97</v>
      </c>
      <c r="E22" s="346"/>
      <c r="F22" s="347"/>
      <c r="G22" s="342">
        <f>G23-SUM(G15:G21)</f>
        <v>0</v>
      </c>
    </row>
    <row r="23" spans="1:7" ht="15.9" customHeight="1" thickBot="1">
      <c r="A23" s="1601" t="s">
        <v>96</v>
      </c>
      <c r="B23" s="1602"/>
      <c r="C23" s="352">
        <f>C22+G23</f>
        <v>0</v>
      </c>
      <c r="D23" s="353" t="s">
        <v>95</v>
      </c>
      <c r="E23" s="354"/>
      <c r="F23" s="355"/>
      <c r="G23" s="342">
        <f>'r03R'!H23</f>
        <v>0</v>
      </c>
    </row>
    <row r="24" spans="1:7" ht="12.75">
      <c r="A24" s="356" t="s">
        <v>94</v>
      </c>
      <c r="B24" s="357"/>
      <c r="C24" s="358"/>
      <c r="D24" s="357" t="s">
        <v>93</v>
      </c>
      <c r="E24" s="357"/>
      <c r="F24" s="359" t="s">
        <v>92</v>
      </c>
      <c r="G24" s="360"/>
    </row>
    <row r="25" spans="1:7" ht="12.75">
      <c r="A25" s="351" t="s">
        <v>91</v>
      </c>
      <c r="B25" s="321"/>
      <c r="C25" s="361"/>
      <c r="D25" s="321" t="s">
        <v>91</v>
      </c>
      <c r="F25" s="362" t="s">
        <v>91</v>
      </c>
      <c r="G25" s="363"/>
    </row>
    <row r="26" spans="1:7" ht="37.5" customHeight="1">
      <c r="A26" s="351" t="s">
        <v>90</v>
      </c>
      <c r="B26" s="364"/>
      <c r="C26" s="361"/>
      <c r="D26" s="321" t="s">
        <v>90</v>
      </c>
      <c r="F26" s="362" t="s">
        <v>90</v>
      </c>
      <c r="G26" s="363"/>
    </row>
    <row r="27" spans="1:7" ht="12.75">
      <c r="A27" s="351"/>
      <c r="B27" s="365"/>
      <c r="C27" s="361"/>
      <c r="D27" s="321"/>
      <c r="F27" s="362"/>
      <c r="G27" s="363"/>
    </row>
    <row r="28" spans="1:7" ht="12.75">
      <c r="A28" s="351" t="s">
        <v>89</v>
      </c>
      <c r="B28" s="321"/>
      <c r="C28" s="361"/>
      <c r="D28" s="362" t="s">
        <v>88</v>
      </c>
      <c r="E28" s="361"/>
      <c r="F28" s="366" t="s">
        <v>88</v>
      </c>
      <c r="G28" s="363"/>
    </row>
    <row r="29" spans="1:7" ht="69" customHeight="1">
      <c r="A29" s="351"/>
      <c r="B29" s="321"/>
      <c r="C29" s="367"/>
      <c r="D29" s="368"/>
      <c r="E29" s="367"/>
      <c r="F29" s="321"/>
      <c r="G29" s="363"/>
    </row>
    <row r="30" spans="1:7" ht="12.75">
      <c r="A30" s="369" t="s">
        <v>8</v>
      </c>
      <c r="B30" s="370"/>
      <c r="C30" s="371">
        <v>21</v>
      </c>
      <c r="D30" s="370" t="s">
        <v>87</v>
      </c>
      <c r="E30" s="372"/>
      <c r="F30" s="1607">
        <f>C23-F32</f>
        <v>0</v>
      </c>
      <c r="G30" s="1608"/>
    </row>
    <row r="31" spans="1:7" ht="12.75">
      <c r="A31" s="369" t="s">
        <v>86</v>
      </c>
      <c r="B31" s="370"/>
      <c r="C31" s="371">
        <f>C30</f>
        <v>21</v>
      </c>
      <c r="D31" s="370" t="s">
        <v>85</v>
      </c>
      <c r="E31" s="372"/>
      <c r="F31" s="1607">
        <f>ROUND(PRODUCT(F30,C31/100),0)</f>
        <v>0</v>
      </c>
      <c r="G31" s="1608"/>
    </row>
    <row r="32" spans="1:7" ht="12.75">
      <c r="A32" s="369" t="s">
        <v>8</v>
      </c>
      <c r="B32" s="370"/>
      <c r="C32" s="371">
        <v>0</v>
      </c>
      <c r="D32" s="370" t="s">
        <v>85</v>
      </c>
      <c r="E32" s="372"/>
      <c r="F32" s="1607">
        <v>0</v>
      </c>
      <c r="G32" s="1608"/>
    </row>
    <row r="33" spans="1:7" ht="12.75">
      <c r="A33" s="369" t="s">
        <v>86</v>
      </c>
      <c r="B33" s="373"/>
      <c r="C33" s="374">
        <f>C32</f>
        <v>0</v>
      </c>
      <c r="D33" s="370" t="s">
        <v>85</v>
      </c>
      <c r="E33" s="347"/>
      <c r="F33" s="1607">
        <f>ROUND(PRODUCT(F32,C33/100),0)</f>
        <v>0</v>
      </c>
      <c r="G33" s="1608"/>
    </row>
    <row r="34" spans="1:7" s="378" customFormat="1" ht="19.5" customHeight="1" thickBot="1">
      <c r="A34" s="375" t="s">
        <v>84</v>
      </c>
      <c r="B34" s="376"/>
      <c r="C34" s="376"/>
      <c r="D34" s="376"/>
      <c r="E34" s="377"/>
      <c r="F34" s="1609">
        <f>ROUND(SUM(F30:F33),0)</f>
        <v>0</v>
      </c>
      <c r="G34" s="1610"/>
    </row>
    <row r="36" spans="1:8" ht="12.75">
      <c r="A36" s="379" t="s">
        <v>83</v>
      </c>
      <c r="B36" s="379"/>
      <c r="C36" s="379"/>
      <c r="D36" s="379"/>
      <c r="E36" s="379"/>
      <c r="F36" s="379"/>
      <c r="G36" s="379"/>
      <c r="H36" s="288" t="s">
        <v>1</v>
      </c>
    </row>
    <row r="37" spans="1:8" ht="14.25" customHeight="1">
      <c r="A37" s="379"/>
      <c r="B37" s="1611"/>
      <c r="C37" s="1611"/>
      <c r="D37" s="1611"/>
      <c r="E37" s="1611"/>
      <c r="F37" s="1611"/>
      <c r="G37" s="1611"/>
      <c r="H37" s="288" t="s">
        <v>1</v>
      </c>
    </row>
    <row r="38" spans="1:8" ht="12.75" customHeight="1">
      <c r="A38" s="380"/>
      <c r="B38" s="1611"/>
      <c r="C38" s="1611"/>
      <c r="D38" s="1611"/>
      <c r="E38" s="1611"/>
      <c r="F38" s="1611"/>
      <c r="G38" s="1611"/>
      <c r="H38" s="288" t="s">
        <v>1</v>
      </c>
    </row>
    <row r="39" spans="1:8" ht="12.75">
      <c r="A39" s="380"/>
      <c r="B39" s="1611"/>
      <c r="C39" s="1611"/>
      <c r="D39" s="1611"/>
      <c r="E39" s="1611"/>
      <c r="F39" s="1611"/>
      <c r="G39" s="1611"/>
      <c r="H39" s="288" t="s">
        <v>1</v>
      </c>
    </row>
    <row r="40" spans="1:8" ht="12.75">
      <c r="A40" s="380"/>
      <c r="B40" s="1611"/>
      <c r="C40" s="1611"/>
      <c r="D40" s="1611"/>
      <c r="E40" s="1611"/>
      <c r="F40" s="1611"/>
      <c r="G40" s="1611"/>
      <c r="H40" s="288" t="s">
        <v>1</v>
      </c>
    </row>
    <row r="41" spans="1:8" ht="12.75">
      <c r="A41" s="380"/>
      <c r="B41" s="1611"/>
      <c r="C41" s="1611"/>
      <c r="D41" s="1611"/>
      <c r="E41" s="1611"/>
      <c r="F41" s="1611"/>
      <c r="G41" s="1611"/>
      <c r="H41" s="288" t="s">
        <v>1</v>
      </c>
    </row>
    <row r="42" spans="1:8" ht="12.75">
      <c r="A42" s="380"/>
      <c r="B42" s="1611"/>
      <c r="C42" s="1611"/>
      <c r="D42" s="1611"/>
      <c r="E42" s="1611"/>
      <c r="F42" s="1611"/>
      <c r="G42" s="1611"/>
      <c r="H42" s="288" t="s">
        <v>1</v>
      </c>
    </row>
    <row r="43" spans="1:8" ht="12.75">
      <c r="A43" s="380"/>
      <c r="B43" s="1611"/>
      <c r="C43" s="1611"/>
      <c r="D43" s="1611"/>
      <c r="E43" s="1611"/>
      <c r="F43" s="1611"/>
      <c r="G43" s="1611"/>
      <c r="H43" s="288" t="s">
        <v>1</v>
      </c>
    </row>
    <row r="44" spans="1:8" ht="12.75" customHeight="1">
      <c r="A44" s="380"/>
      <c r="B44" s="1611"/>
      <c r="C44" s="1611"/>
      <c r="D44" s="1611"/>
      <c r="E44" s="1611"/>
      <c r="F44" s="1611"/>
      <c r="G44" s="1611"/>
      <c r="H44" s="288" t="s">
        <v>1</v>
      </c>
    </row>
    <row r="45" spans="1:8" ht="12.75" customHeight="1">
      <c r="A45" s="380"/>
      <c r="B45" s="1611"/>
      <c r="C45" s="1611"/>
      <c r="D45" s="1611"/>
      <c r="E45" s="1611"/>
      <c r="F45" s="1611"/>
      <c r="G45" s="1611"/>
      <c r="H45" s="288" t="s">
        <v>1</v>
      </c>
    </row>
    <row r="46" spans="2:7" ht="12.75">
      <c r="B46" s="1606"/>
      <c r="C46" s="1606"/>
      <c r="D46" s="1606"/>
      <c r="E46" s="1606"/>
      <c r="F46" s="1606"/>
      <c r="G46" s="1606"/>
    </row>
    <row r="47" spans="2:7" ht="12.75">
      <c r="B47" s="1606"/>
      <c r="C47" s="1606"/>
      <c r="D47" s="1606"/>
      <c r="E47" s="1606"/>
      <c r="F47" s="1606"/>
      <c r="G47" s="1606"/>
    </row>
    <row r="48" spans="2:7" ht="12.75">
      <c r="B48" s="1606"/>
      <c r="C48" s="1606"/>
      <c r="D48" s="1606"/>
      <c r="E48" s="1606"/>
      <c r="F48" s="1606"/>
      <c r="G48" s="1606"/>
    </row>
    <row r="49" spans="2:7" ht="12.75">
      <c r="B49" s="1606"/>
      <c r="C49" s="1606"/>
      <c r="D49" s="1606"/>
      <c r="E49" s="1606"/>
      <c r="F49" s="1606"/>
      <c r="G49" s="1606"/>
    </row>
    <row r="50" spans="2:7" ht="12.75">
      <c r="B50" s="1606"/>
      <c r="C50" s="1606"/>
      <c r="D50" s="1606"/>
      <c r="E50" s="1606"/>
      <c r="F50" s="1606"/>
      <c r="G50" s="1606"/>
    </row>
    <row r="51" spans="2:7" ht="12.75">
      <c r="B51" s="1606"/>
      <c r="C51" s="1606"/>
      <c r="D51" s="1606"/>
      <c r="E51" s="1606"/>
      <c r="F51" s="1606"/>
      <c r="G51" s="1606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BE74"/>
  <sheetViews>
    <sheetView workbookViewId="0" topLeftCell="A1">
      <selection activeCell="G22" sqref="G22"/>
    </sheetView>
  </sheetViews>
  <sheetFormatPr defaultColWidth="9.125" defaultRowHeight="12.75"/>
  <cols>
    <col min="1" max="1" width="5.875" style="288" customWidth="1"/>
    <col min="2" max="2" width="6.125" style="288" customWidth="1"/>
    <col min="3" max="3" width="11.50390625" style="288" customWidth="1"/>
    <col min="4" max="4" width="15.875" style="288" customWidth="1"/>
    <col min="5" max="5" width="11.375" style="288" customWidth="1"/>
    <col min="6" max="6" width="10.875" style="288" customWidth="1"/>
    <col min="7" max="7" width="11.00390625" style="288" customWidth="1"/>
    <col min="8" max="8" width="11.125" style="288" customWidth="1"/>
    <col min="9" max="9" width="10.625" style="288" customWidth="1"/>
    <col min="10" max="16384" width="9.125" style="288" customWidth="1"/>
  </cols>
  <sheetData>
    <row r="1" spans="1:9" ht="13.8" thickTop="1">
      <c r="A1" s="1612" t="s">
        <v>2</v>
      </c>
      <c r="B1" s="1613"/>
      <c r="C1" s="433" t="s">
        <v>82</v>
      </c>
      <c r="D1" s="431"/>
      <c r="E1" s="432"/>
      <c r="F1" s="431"/>
      <c r="G1" s="430" t="s">
        <v>81</v>
      </c>
      <c r="H1" s="429" t="s">
        <v>80</v>
      </c>
      <c r="I1" s="428"/>
    </row>
    <row r="2" spans="1:9" ht="13.8" thickBot="1">
      <c r="A2" s="1614" t="s">
        <v>79</v>
      </c>
      <c r="B2" s="1615"/>
      <c r="C2" s="427" t="s">
        <v>333</v>
      </c>
      <c r="D2" s="425"/>
      <c r="E2" s="426"/>
      <c r="F2" s="425"/>
      <c r="G2" s="1616" t="s">
        <v>77</v>
      </c>
      <c r="H2" s="1617"/>
      <c r="I2" s="1618"/>
    </row>
    <row r="3" ht="13.8" thickTop="1">
      <c r="F3" s="321"/>
    </row>
    <row r="4" spans="1:9" ht="19.5" customHeight="1">
      <c r="A4" s="424" t="s">
        <v>76</v>
      </c>
      <c r="B4" s="403"/>
      <c r="C4" s="403"/>
      <c r="D4" s="403"/>
      <c r="E4" s="423"/>
      <c r="F4" s="403"/>
      <c r="G4" s="403"/>
      <c r="H4" s="403"/>
      <c r="I4" s="403"/>
    </row>
    <row r="5" ht="13.8" thickBot="1"/>
    <row r="6" spans="1:9" s="321" customFormat="1" ht="13.8" thickBot="1">
      <c r="A6" s="422"/>
      <c r="B6" s="421" t="s">
        <v>75</v>
      </c>
      <c r="C6" s="421"/>
      <c r="D6" s="420"/>
      <c r="E6" s="419" t="s">
        <v>74</v>
      </c>
      <c r="F6" s="418" t="s">
        <v>73</v>
      </c>
      <c r="G6" s="418" t="s">
        <v>72</v>
      </c>
      <c r="H6" s="418" t="s">
        <v>71</v>
      </c>
      <c r="I6" s="417" t="s">
        <v>70</v>
      </c>
    </row>
    <row r="7" spans="1:9" s="321" customFormat="1" ht="12.75">
      <c r="A7" s="416" t="str">
        <f>'r03P'!B7</f>
        <v>91</v>
      </c>
      <c r="B7" s="415" t="str">
        <f>'r03P'!C7</f>
        <v>Doplňující práce na komunikaci</v>
      </c>
      <c r="D7" s="414"/>
      <c r="E7" s="413">
        <f>'r03P'!BA15</f>
        <v>0</v>
      </c>
      <c r="F7" s="412">
        <f>'r03P'!BB15</f>
        <v>0</v>
      </c>
      <c r="G7" s="412">
        <f>'r03P'!BC15</f>
        <v>0</v>
      </c>
      <c r="H7" s="412">
        <f>'r03P'!BD15</f>
        <v>0</v>
      </c>
      <c r="I7" s="411">
        <f>'r03P'!BE15</f>
        <v>0</v>
      </c>
    </row>
    <row r="8" spans="1:9" s="74" customFormat="1" ht="12.75">
      <c r="A8" s="85" t="str">
        <f>'r03P'!B16</f>
        <v>95</v>
      </c>
      <c r="B8" s="35" t="str">
        <f>'r03P'!C16</f>
        <v>Dokončovací konstrukce na pozemních stavbách</v>
      </c>
      <c r="D8" s="84"/>
      <c r="E8" s="83">
        <f>'r03P'!BA20</f>
        <v>0</v>
      </c>
      <c r="F8" s="82">
        <f>'r03P'!BB20</f>
        <v>0</v>
      </c>
      <c r="G8" s="82">
        <f>'r03P'!BC20</f>
        <v>0</v>
      </c>
      <c r="H8" s="82">
        <f>'r03P'!BD20</f>
        <v>0</v>
      </c>
      <c r="I8" s="81">
        <f>'r03P'!BE20</f>
        <v>0</v>
      </c>
    </row>
    <row r="9" spans="1:9" s="74" customFormat="1" ht="13.8" thickBot="1">
      <c r="A9" s="85" t="str">
        <f>'r03P'!B21</f>
        <v>99</v>
      </c>
      <c r="B9" s="35" t="str">
        <f>'r03P'!C21</f>
        <v>Staveništní přesun hmot</v>
      </c>
      <c r="D9" s="84"/>
      <c r="E9" s="83">
        <f>'r03P'!BA23</f>
        <v>0</v>
      </c>
      <c r="F9" s="82">
        <f>'r03P'!BB23</f>
        <v>0</v>
      </c>
      <c r="G9" s="82">
        <f>'r03P'!BC23</f>
        <v>0</v>
      </c>
      <c r="H9" s="82">
        <f>'r03P'!BD23</f>
        <v>0</v>
      </c>
      <c r="I9" s="81">
        <f>'r03P'!BE23</f>
        <v>0</v>
      </c>
    </row>
    <row r="10" spans="1:9" s="384" customFormat="1" ht="13.8" thickBot="1">
      <c r="A10" s="410"/>
      <c r="B10" s="409" t="s">
        <v>69</v>
      </c>
      <c r="C10" s="409"/>
      <c r="D10" s="408"/>
      <c r="E10" s="407">
        <f>SUM(E7:E9)</f>
        <v>0</v>
      </c>
      <c r="F10" s="406">
        <f>SUM(F7:F9)</f>
        <v>0</v>
      </c>
      <c r="G10" s="406">
        <f>SUM(G7:G9)</f>
        <v>0</v>
      </c>
      <c r="H10" s="406">
        <f>SUM(H7:H9)</f>
        <v>0</v>
      </c>
      <c r="I10" s="405">
        <f>SUM(I7:I9)</f>
        <v>0</v>
      </c>
    </row>
    <row r="11" spans="1:9" ht="12.75">
      <c r="A11" s="321"/>
      <c r="B11" s="321"/>
      <c r="C11" s="321"/>
      <c r="D11" s="321"/>
      <c r="E11" s="321"/>
      <c r="F11" s="321"/>
      <c r="G11" s="321"/>
      <c r="H11" s="321"/>
      <c r="I11" s="321"/>
    </row>
    <row r="12" spans="1:57" ht="19.5" customHeight="1">
      <c r="A12" s="403" t="s">
        <v>68</v>
      </c>
      <c r="B12" s="403"/>
      <c r="C12" s="403"/>
      <c r="D12" s="403"/>
      <c r="E12" s="403"/>
      <c r="F12" s="403"/>
      <c r="G12" s="404"/>
      <c r="H12" s="403"/>
      <c r="I12" s="403"/>
      <c r="BA12" s="327"/>
      <c r="BB12" s="327"/>
      <c r="BC12" s="327"/>
      <c r="BD12" s="327"/>
      <c r="BE12" s="327"/>
    </row>
    <row r="13" ht="13.8" thickBot="1"/>
    <row r="14" spans="1:9" ht="12.75">
      <c r="A14" s="356" t="s">
        <v>67</v>
      </c>
      <c r="B14" s="357"/>
      <c r="C14" s="357"/>
      <c r="D14" s="402"/>
      <c r="E14" s="401" t="s">
        <v>65</v>
      </c>
      <c r="F14" s="400" t="s">
        <v>9</v>
      </c>
      <c r="G14" s="399" t="s">
        <v>66</v>
      </c>
      <c r="H14" s="398"/>
      <c r="I14" s="397" t="s">
        <v>65</v>
      </c>
    </row>
    <row r="15" spans="1:53" ht="12.75">
      <c r="A15" s="350" t="s">
        <v>64</v>
      </c>
      <c r="B15" s="341"/>
      <c r="C15" s="341"/>
      <c r="D15" s="396"/>
      <c r="E15" s="395">
        <v>0</v>
      </c>
      <c r="F15" s="394">
        <v>0</v>
      </c>
      <c r="G15" s="393">
        <v>0</v>
      </c>
      <c r="H15" s="392"/>
      <c r="I15" s="391">
        <f aca="true" t="shared" si="0" ref="I15:I22">E15+F15*G15/100</f>
        <v>0</v>
      </c>
      <c r="BA15" s="288">
        <v>0</v>
      </c>
    </row>
    <row r="16" spans="1:53" ht="12.75">
      <c r="A16" s="350" t="s">
        <v>63</v>
      </c>
      <c r="B16" s="341"/>
      <c r="C16" s="341"/>
      <c r="D16" s="396"/>
      <c r="E16" s="395">
        <v>0</v>
      </c>
      <c r="F16" s="394">
        <v>0</v>
      </c>
      <c r="G16" s="393">
        <v>0</v>
      </c>
      <c r="H16" s="392"/>
      <c r="I16" s="391">
        <f t="shared" si="0"/>
        <v>0</v>
      </c>
      <c r="BA16" s="288">
        <v>0</v>
      </c>
    </row>
    <row r="17" spans="1:53" ht="12.75">
      <c r="A17" s="350" t="s">
        <v>62</v>
      </c>
      <c r="B17" s="341"/>
      <c r="C17" s="341"/>
      <c r="D17" s="396"/>
      <c r="E17" s="395">
        <v>0</v>
      </c>
      <c r="F17" s="394">
        <v>0</v>
      </c>
      <c r="G17" s="393">
        <v>0</v>
      </c>
      <c r="H17" s="392"/>
      <c r="I17" s="391">
        <f t="shared" si="0"/>
        <v>0</v>
      </c>
      <c r="BA17" s="288">
        <v>0</v>
      </c>
    </row>
    <row r="18" spans="1:53" ht="12.75">
      <c r="A18" s="350" t="s">
        <v>61</v>
      </c>
      <c r="B18" s="341"/>
      <c r="C18" s="341"/>
      <c r="D18" s="396"/>
      <c r="E18" s="395">
        <v>0</v>
      </c>
      <c r="F18" s="394">
        <v>0</v>
      </c>
      <c r="G18" s="393">
        <v>0</v>
      </c>
      <c r="H18" s="392"/>
      <c r="I18" s="391">
        <f t="shared" si="0"/>
        <v>0</v>
      </c>
      <c r="BA18" s="288">
        <v>0</v>
      </c>
    </row>
    <row r="19" spans="1:53" ht="12.75">
      <c r="A19" s="350" t="s">
        <v>60</v>
      </c>
      <c r="B19" s="341"/>
      <c r="C19" s="341"/>
      <c r="D19" s="396"/>
      <c r="E19" s="395">
        <v>0</v>
      </c>
      <c r="F19" s="394">
        <v>3</v>
      </c>
      <c r="G19" s="393">
        <v>0</v>
      </c>
      <c r="H19" s="392"/>
      <c r="I19" s="391">
        <f t="shared" si="0"/>
        <v>0</v>
      </c>
      <c r="BA19" s="288">
        <v>1</v>
      </c>
    </row>
    <row r="20" spans="1:53" ht="12.75">
      <c r="A20" s="350" t="s">
        <v>59</v>
      </c>
      <c r="B20" s="341"/>
      <c r="C20" s="341"/>
      <c r="D20" s="396"/>
      <c r="E20" s="395">
        <v>0</v>
      </c>
      <c r="F20" s="394">
        <v>0</v>
      </c>
      <c r="G20" s="393">
        <v>0</v>
      </c>
      <c r="H20" s="392"/>
      <c r="I20" s="391">
        <f t="shared" si="0"/>
        <v>0</v>
      </c>
      <c r="BA20" s="288">
        <v>1</v>
      </c>
    </row>
    <row r="21" spans="1:53" ht="12.75">
      <c r="A21" s="350" t="s">
        <v>58</v>
      </c>
      <c r="B21" s="341"/>
      <c r="C21" s="341"/>
      <c r="D21" s="396"/>
      <c r="E21" s="395">
        <v>0</v>
      </c>
      <c r="F21" s="394">
        <v>1.2</v>
      </c>
      <c r="G21" s="393">
        <v>0</v>
      </c>
      <c r="H21" s="392"/>
      <c r="I21" s="391">
        <f t="shared" si="0"/>
        <v>0</v>
      </c>
      <c r="BA21" s="288">
        <v>2</v>
      </c>
    </row>
    <row r="22" spans="1:53" ht="12.75">
      <c r="A22" s="350" t="s">
        <v>41</v>
      </c>
      <c r="B22" s="341"/>
      <c r="C22" s="341"/>
      <c r="D22" s="396"/>
      <c r="E22" s="395">
        <v>0</v>
      </c>
      <c r="F22" s="394">
        <v>0</v>
      </c>
      <c r="G22" s="393">
        <v>0</v>
      </c>
      <c r="H22" s="392"/>
      <c r="I22" s="391">
        <f t="shared" si="0"/>
        <v>0</v>
      </c>
      <c r="BA22" s="288">
        <v>2</v>
      </c>
    </row>
    <row r="23" spans="1:9" ht="13.8" thickBot="1">
      <c r="A23" s="390"/>
      <c r="B23" s="389" t="s">
        <v>57</v>
      </c>
      <c r="C23" s="388"/>
      <c r="D23" s="387"/>
      <c r="E23" s="386"/>
      <c r="F23" s="385"/>
      <c r="G23" s="385"/>
      <c r="H23" s="1619">
        <f>SUM(I15:I22)</f>
        <v>0</v>
      </c>
      <c r="I23" s="1620"/>
    </row>
    <row r="25" spans="2:9" ht="12.75">
      <c r="B25" s="384"/>
      <c r="F25" s="383"/>
      <c r="G25" s="382"/>
      <c r="H25" s="382"/>
      <c r="I25" s="381"/>
    </row>
    <row r="26" spans="6:9" ht="12.75">
      <c r="F26" s="383"/>
      <c r="G26" s="382"/>
      <c r="H26" s="382"/>
      <c r="I26" s="381"/>
    </row>
    <row r="27" spans="6:9" ht="12.75">
      <c r="F27" s="383"/>
      <c r="G27" s="382"/>
      <c r="H27" s="382"/>
      <c r="I27" s="381"/>
    </row>
    <row r="28" spans="6:9" ht="12.75">
      <c r="F28" s="383"/>
      <c r="G28" s="382"/>
      <c r="H28" s="382"/>
      <c r="I28" s="381"/>
    </row>
    <row r="29" spans="6:9" ht="12.75">
      <c r="F29" s="383"/>
      <c r="G29" s="382"/>
      <c r="H29" s="382"/>
      <c r="I29" s="381"/>
    </row>
    <row r="30" spans="6:9" ht="12.75">
      <c r="F30" s="383"/>
      <c r="G30" s="382"/>
      <c r="H30" s="382"/>
      <c r="I30" s="381"/>
    </row>
    <row r="31" spans="6:9" ht="12.75">
      <c r="F31" s="383"/>
      <c r="G31" s="382"/>
      <c r="H31" s="382"/>
      <c r="I31" s="381"/>
    </row>
    <row r="32" spans="6:9" ht="12.75">
      <c r="F32" s="383"/>
      <c r="G32" s="382"/>
      <c r="H32" s="382"/>
      <c r="I32" s="381"/>
    </row>
    <row r="33" spans="6:9" ht="12.75">
      <c r="F33" s="383"/>
      <c r="G33" s="382"/>
      <c r="H33" s="382"/>
      <c r="I33" s="381"/>
    </row>
    <row r="34" spans="6:9" ht="12.75">
      <c r="F34" s="383"/>
      <c r="G34" s="382"/>
      <c r="H34" s="382"/>
      <c r="I34" s="381"/>
    </row>
    <row r="35" spans="6:9" ht="12.75">
      <c r="F35" s="383"/>
      <c r="G35" s="382"/>
      <c r="H35" s="382"/>
      <c r="I35" s="381"/>
    </row>
    <row r="36" spans="6:9" ht="12.75">
      <c r="F36" s="383"/>
      <c r="G36" s="382"/>
      <c r="H36" s="382"/>
      <c r="I36" s="381"/>
    </row>
    <row r="37" spans="6:9" ht="12.75">
      <c r="F37" s="383"/>
      <c r="G37" s="382"/>
      <c r="H37" s="382"/>
      <c r="I37" s="381"/>
    </row>
    <row r="38" spans="6:9" ht="12.75">
      <c r="F38" s="383"/>
      <c r="G38" s="382"/>
      <c r="H38" s="382"/>
      <c r="I38" s="381"/>
    </row>
    <row r="39" spans="6:9" ht="12.75">
      <c r="F39" s="383"/>
      <c r="G39" s="382"/>
      <c r="H39" s="382"/>
      <c r="I39" s="381"/>
    </row>
    <row r="40" spans="6:9" ht="12.75">
      <c r="F40" s="383"/>
      <c r="G40" s="382"/>
      <c r="H40" s="382"/>
      <c r="I40" s="381"/>
    </row>
    <row r="41" spans="6:9" ht="12.75">
      <c r="F41" s="383"/>
      <c r="G41" s="382"/>
      <c r="H41" s="382"/>
      <c r="I41" s="381"/>
    </row>
    <row r="42" spans="6:9" ht="12.75">
      <c r="F42" s="383"/>
      <c r="G42" s="382"/>
      <c r="H42" s="382"/>
      <c r="I42" s="381"/>
    </row>
    <row r="43" spans="6:9" ht="12.75">
      <c r="F43" s="383"/>
      <c r="G43" s="382"/>
      <c r="H43" s="382"/>
      <c r="I43" s="381"/>
    </row>
    <row r="44" spans="6:9" ht="12.75">
      <c r="F44" s="383"/>
      <c r="G44" s="382"/>
      <c r="H44" s="382"/>
      <c r="I44" s="381"/>
    </row>
    <row r="45" spans="6:9" ht="12.75">
      <c r="F45" s="383"/>
      <c r="G45" s="382"/>
      <c r="H45" s="382"/>
      <c r="I45" s="381"/>
    </row>
    <row r="46" spans="6:9" ht="12.75">
      <c r="F46" s="383"/>
      <c r="G46" s="382"/>
      <c r="H46" s="382"/>
      <c r="I46" s="381"/>
    </row>
    <row r="47" spans="6:9" ht="12.75">
      <c r="F47" s="383"/>
      <c r="G47" s="382"/>
      <c r="H47" s="382"/>
      <c r="I47" s="381"/>
    </row>
    <row r="48" spans="6:9" ht="12.75">
      <c r="F48" s="383"/>
      <c r="G48" s="382"/>
      <c r="H48" s="382"/>
      <c r="I48" s="381"/>
    </row>
    <row r="49" spans="6:9" ht="12.75">
      <c r="F49" s="383"/>
      <c r="G49" s="382"/>
      <c r="H49" s="382"/>
      <c r="I49" s="381"/>
    </row>
    <row r="50" spans="6:9" ht="12.75">
      <c r="F50" s="383"/>
      <c r="G50" s="382"/>
      <c r="H50" s="382"/>
      <c r="I50" s="381"/>
    </row>
    <row r="51" spans="6:9" ht="12.75">
      <c r="F51" s="383"/>
      <c r="G51" s="382"/>
      <c r="H51" s="382"/>
      <c r="I51" s="381"/>
    </row>
    <row r="52" spans="6:9" ht="12.75">
      <c r="F52" s="383"/>
      <c r="G52" s="382"/>
      <c r="H52" s="382"/>
      <c r="I52" s="381"/>
    </row>
    <row r="53" spans="6:9" ht="12.75">
      <c r="F53" s="383"/>
      <c r="G53" s="382"/>
      <c r="H53" s="382"/>
      <c r="I53" s="381"/>
    </row>
    <row r="54" spans="6:9" ht="12.75">
      <c r="F54" s="383"/>
      <c r="G54" s="382"/>
      <c r="H54" s="382"/>
      <c r="I54" s="381"/>
    </row>
    <row r="55" spans="6:9" ht="12.75">
      <c r="F55" s="383"/>
      <c r="G55" s="382"/>
      <c r="H55" s="382"/>
      <c r="I55" s="381"/>
    </row>
    <row r="56" spans="6:9" ht="12.75">
      <c r="F56" s="383"/>
      <c r="G56" s="382"/>
      <c r="H56" s="382"/>
      <c r="I56" s="381"/>
    </row>
    <row r="57" spans="6:9" ht="12.75">
      <c r="F57" s="383"/>
      <c r="G57" s="382"/>
      <c r="H57" s="382"/>
      <c r="I57" s="381"/>
    </row>
    <row r="58" spans="6:9" ht="12.75">
      <c r="F58" s="383"/>
      <c r="G58" s="382"/>
      <c r="H58" s="382"/>
      <c r="I58" s="381"/>
    </row>
    <row r="59" spans="6:9" ht="12.75">
      <c r="F59" s="383"/>
      <c r="G59" s="382"/>
      <c r="H59" s="382"/>
      <c r="I59" s="381"/>
    </row>
    <row r="60" spans="6:9" ht="12.75">
      <c r="F60" s="383"/>
      <c r="G60" s="382"/>
      <c r="H60" s="382"/>
      <c r="I60" s="381"/>
    </row>
    <row r="61" spans="6:9" ht="12.75">
      <c r="F61" s="383"/>
      <c r="G61" s="382"/>
      <c r="H61" s="382"/>
      <c r="I61" s="381"/>
    </row>
    <row r="62" spans="6:9" ht="12.75">
      <c r="F62" s="383"/>
      <c r="G62" s="382"/>
      <c r="H62" s="382"/>
      <c r="I62" s="381"/>
    </row>
    <row r="63" spans="6:9" ht="12.75">
      <c r="F63" s="383"/>
      <c r="G63" s="382"/>
      <c r="H63" s="382"/>
      <c r="I63" s="381"/>
    </row>
    <row r="64" spans="6:9" ht="12.75">
      <c r="F64" s="383"/>
      <c r="G64" s="382"/>
      <c r="H64" s="382"/>
      <c r="I64" s="381"/>
    </row>
    <row r="65" spans="6:9" ht="12.75">
      <c r="F65" s="383"/>
      <c r="G65" s="382"/>
      <c r="H65" s="382"/>
      <c r="I65" s="381"/>
    </row>
    <row r="66" spans="6:9" ht="12.75">
      <c r="F66" s="383"/>
      <c r="G66" s="382"/>
      <c r="H66" s="382"/>
      <c r="I66" s="381"/>
    </row>
    <row r="67" spans="6:9" ht="12.75">
      <c r="F67" s="383"/>
      <c r="G67" s="382"/>
      <c r="H67" s="382"/>
      <c r="I67" s="381"/>
    </row>
    <row r="68" spans="6:9" ht="12.75">
      <c r="F68" s="383"/>
      <c r="G68" s="382"/>
      <c r="H68" s="382"/>
      <c r="I68" s="381"/>
    </row>
    <row r="69" spans="6:9" ht="12.75">
      <c r="F69" s="383"/>
      <c r="G69" s="382"/>
      <c r="H69" s="382"/>
      <c r="I69" s="381"/>
    </row>
    <row r="70" spans="6:9" ht="12.75">
      <c r="F70" s="383"/>
      <c r="G70" s="382"/>
      <c r="H70" s="382"/>
      <c r="I70" s="381"/>
    </row>
    <row r="71" spans="6:9" ht="12.75">
      <c r="F71" s="383"/>
      <c r="G71" s="382"/>
      <c r="H71" s="382"/>
      <c r="I71" s="381"/>
    </row>
    <row r="72" spans="6:9" ht="12.75">
      <c r="F72" s="383"/>
      <c r="G72" s="382"/>
      <c r="H72" s="382"/>
      <c r="I72" s="381"/>
    </row>
    <row r="73" spans="6:9" ht="12.75">
      <c r="F73" s="383"/>
      <c r="G73" s="382"/>
      <c r="H73" s="382"/>
      <c r="I73" s="381"/>
    </row>
    <row r="74" spans="6:9" ht="12.75">
      <c r="F74" s="383"/>
      <c r="G74" s="382"/>
      <c r="H74" s="382"/>
      <c r="I74" s="381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CB96"/>
  <sheetViews>
    <sheetView showGridLines="0" showZeros="0" zoomScaleSheetLayoutView="100" workbookViewId="0" topLeftCell="A1">
      <selection activeCell="F8" sqref="F8:F22"/>
    </sheetView>
  </sheetViews>
  <sheetFormatPr defaultColWidth="9.125" defaultRowHeight="12.75"/>
  <cols>
    <col min="1" max="1" width="4.50390625" style="434" customWidth="1"/>
    <col min="2" max="2" width="11.50390625" style="434" customWidth="1"/>
    <col min="3" max="3" width="40.50390625" style="434" customWidth="1"/>
    <col min="4" max="4" width="5.50390625" style="434" customWidth="1"/>
    <col min="5" max="5" width="8.50390625" style="435" customWidth="1"/>
    <col min="6" max="6" width="9.875" style="434" customWidth="1"/>
    <col min="7" max="7" width="13.875" style="434" customWidth="1"/>
    <col min="8" max="8" width="11.625" style="434" hidden="1" customWidth="1"/>
    <col min="9" max="9" width="11.50390625" style="434" hidden="1" customWidth="1"/>
    <col min="10" max="10" width="11.00390625" style="434" customWidth="1"/>
    <col min="11" max="11" width="10.50390625" style="434" customWidth="1"/>
    <col min="12" max="12" width="75.50390625" style="434" customWidth="1"/>
    <col min="13" max="13" width="45.375" style="434" customWidth="1"/>
    <col min="14" max="16384" width="9.125" style="434" customWidth="1"/>
  </cols>
  <sheetData>
    <row r="1" spans="1:7" ht="15.6">
      <c r="A1" s="1622" t="s">
        <v>127</v>
      </c>
      <c r="B1" s="1622"/>
      <c r="C1" s="1622"/>
      <c r="D1" s="1622"/>
      <c r="E1" s="1622"/>
      <c r="F1" s="1622"/>
      <c r="G1" s="1622"/>
    </row>
    <row r="2" spans="2:7" ht="14.25" customHeight="1" thickBot="1">
      <c r="B2" s="493"/>
      <c r="C2" s="491"/>
      <c r="D2" s="491"/>
      <c r="E2" s="492"/>
      <c r="F2" s="491"/>
      <c r="G2" s="491"/>
    </row>
    <row r="3" spans="1:7" ht="13.8" thickTop="1">
      <c r="A3" s="1612" t="s">
        <v>2</v>
      </c>
      <c r="B3" s="1613"/>
      <c r="C3" s="433" t="s">
        <v>82</v>
      </c>
      <c r="D3" s="490"/>
      <c r="E3" s="489" t="s">
        <v>128</v>
      </c>
      <c r="F3" s="488" t="str">
        <f>'r03R'!H1</f>
        <v/>
      </c>
      <c r="G3" s="487"/>
    </row>
    <row r="4" spans="1:7" ht="13.8" thickBot="1">
      <c r="A4" s="1623" t="s">
        <v>79</v>
      </c>
      <c r="B4" s="1615"/>
      <c r="C4" s="427" t="s">
        <v>333</v>
      </c>
      <c r="D4" s="486"/>
      <c r="E4" s="1624" t="str">
        <f>'r03R'!G2</f>
        <v>aktualizovaný</v>
      </c>
      <c r="F4" s="1625"/>
      <c r="G4" s="1626"/>
    </row>
    <row r="5" spans="1:7" ht="13.8" thickTop="1">
      <c r="A5" s="485"/>
      <c r="G5" s="484"/>
    </row>
    <row r="6" spans="1:11" ht="27" customHeight="1">
      <c r="A6" s="483" t="s">
        <v>129</v>
      </c>
      <c r="B6" s="481" t="s">
        <v>130</v>
      </c>
      <c r="C6" s="481" t="s">
        <v>131</v>
      </c>
      <c r="D6" s="481" t="s">
        <v>132</v>
      </c>
      <c r="E6" s="482" t="s">
        <v>133</v>
      </c>
      <c r="F6" s="481" t="s">
        <v>134</v>
      </c>
      <c r="G6" s="480" t="s">
        <v>135</v>
      </c>
      <c r="H6" s="479" t="s">
        <v>136</v>
      </c>
      <c r="I6" s="479" t="s">
        <v>137</v>
      </c>
      <c r="J6" s="479" t="s">
        <v>138</v>
      </c>
      <c r="K6" s="479" t="s">
        <v>139</v>
      </c>
    </row>
    <row r="7" spans="1:15" ht="12.75">
      <c r="A7" s="471" t="s">
        <v>140</v>
      </c>
      <c r="B7" s="470" t="s">
        <v>348</v>
      </c>
      <c r="C7" s="469" t="s">
        <v>347</v>
      </c>
      <c r="D7" s="468"/>
      <c r="E7" s="467"/>
      <c r="F7" s="467"/>
      <c r="G7" s="466"/>
      <c r="H7" s="465"/>
      <c r="I7" s="464"/>
      <c r="J7" s="463"/>
      <c r="K7" s="462"/>
      <c r="O7" s="444">
        <v>1</v>
      </c>
    </row>
    <row r="8" spans="1:80" ht="12.75">
      <c r="A8" s="461">
        <v>1</v>
      </c>
      <c r="B8" s="460" t="s">
        <v>346</v>
      </c>
      <c r="C8" s="459" t="s">
        <v>345</v>
      </c>
      <c r="D8" s="458" t="s">
        <v>145</v>
      </c>
      <c r="E8" s="457">
        <v>57.24</v>
      </c>
      <c r="F8" s="457"/>
      <c r="G8" s="456">
        <f>E8*F8</f>
        <v>0</v>
      </c>
      <c r="H8" s="455">
        <v>0.00014</v>
      </c>
      <c r="I8" s="454">
        <f>E8*H8</f>
        <v>0.0080136</v>
      </c>
      <c r="J8" s="455">
        <v>0</v>
      </c>
      <c r="K8" s="454">
        <f>E8*J8</f>
        <v>0</v>
      </c>
      <c r="O8" s="444">
        <v>2</v>
      </c>
      <c r="AA8" s="434">
        <v>1</v>
      </c>
      <c r="AB8" s="434">
        <v>1</v>
      </c>
      <c r="AC8" s="434">
        <v>1</v>
      </c>
      <c r="AZ8" s="434">
        <v>1</v>
      </c>
      <c r="BA8" s="434">
        <f>IF(AZ8=1,G8,0)</f>
        <v>0</v>
      </c>
      <c r="BB8" s="434">
        <f>IF(AZ8=2,G8,0)</f>
        <v>0</v>
      </c>
      <c r="BC8" s="434">
        <f>IF(AZ8=3,G8,0)</f>
        <v>0</v>
      </c>
      <c r="BD8" s="434">
        <f>IF(AZ8=4,G8,0)</f>
        <v>0</v>
      </c>
      <c r="BE8" s="434">
        <f>IF(AZ8=5,G8,0)</f>
        <v>0</v>
      </c>
      <c r="CA8" s="444">
        <v>1</v>
      </c>
      <c r="CB8" s="444">
        <v>1</v>
      </c>
    </row>
    <row r="9" spans="1:15" ht="12.75">
      <c r="A9" s="478"/>
      <c r="B9" s="477"/>
      <c r="C9" s="1621" t="s">
        <v>344</v>
      </c>
      <c r="D9" s="1589"/>
      <c r="E9" s="476">
        <v>57.24</v>
      </c>
      <c r="F9" s="475"/>
      <c r="G9" s="230"/>
      <c r="H9" s="474"/>
      <c r="I9" s="473"/>
      <c r="J9" s="436"/>
      <c r="K9" s="473"/>
      <c r="M9" s="472" t="s">
        <v>344</v>
      </c>
      <c r="O9" s="444"/>
    </row>
    <row r="10" spans="1:80" ht="12.75">
      <c r="A10" s="461">
        <v>2</v>
      </c>
      <c r="B10" s="460" t="s">
        <v>343</v>
      </c>
      <c r="C10" s="459" t="s">
        <v>342</v>
      </c>
      <c r="D10" s="458" t="s">
        <v>231</v>
      </c>
      <c r="E10" s="457">
        <v>279.4</v>
      </c>
      <c r="F10" s="457"/>
      <c r="G10" s="456">
        <f>E10*F10</f>
        <v>0</v>
      </c>
      <c r="H10" s="455">
        <v>0.00044</v>
      </c>
      <c r="I10" s="454">
        <f>E10*H10</f>
        <v>0.12293599999999999</v>
      </c>
      <c r="J10" s="455">
        <v>0</v>
      </c>
      <c r="K10" s="454">
        <f>E10*J10</f>
        <v>0</v>
      </c>
      <c r="O10" s="444">
        <v>2</v>
      </c>
      <c r="AA10" s="434">
        <v>1</v>
      </c>
      <c r="AB10" s="434">
        <v>1</v>
      </c>
      <c r="AC10" s="434">
        <v>1</v>
      </c>
      <c r="AZ10" s="434">
        <v>1</v>
      </c>
      <c r="BA10" s="434">
        <f>IF(AZ10=1,G10,0)</f>
        <v>0</v>
      </c>
      <c r="BB10" s="434">
        <f>IF(AZ10=2,G10,0)</f>
        <v>0</v>
      </c>
      <c r="BC10" s="434">
        <f>IF(AZ10=3,G10,0)</f>
        <v>0</v>
      </c>
      <c r="BD10" s="434">
        <f>IF(AZ10=4,G10,0)</f>
        <v>0</v>
      </c>
      <c r="BE10" s="434">
        <f>IF(AZ10=5,G10,0)</f>
        <v>0</v>
      </c>
      <c r="CA10" s="444">
        <v>1</v>
      </c>
      <c r="CB10" s="444">
        <v>1</v>
      </c>
    </row>
    <row r="11" spans="1:15" ht="12.75">
      <c r="A11" s="478"/>
      <c r="B11" s="477"/>
      <c r="C11" s="1621" t="s">
        <v>341</v>
      </c>
      <c r="D11" s="1589"/>
      <c r="E11" s="476">
        <v>279.4</v>
      </c>
      <c r="F11" s="475"/>
      <c r="G11" s="230"/>
      <c r="H11" s="474"/>
      <c r="I11" s="473"/>
      <c r="J11" s="436"/>
      <c r="K11" s="473"/>
      <c r="M11" s="472" t="s">
        <v>341</v>
      </c>
      <c r="O11" s="444"/>
    </row>
    <row r="12" spans="1:80" ht="12.75">
      <c r="A12" s="461">
        <v>3</v>
      </c>
      <c r="B12" s="460" t="s">
        <v>340</v>
      </c>
      <c r="C12" s="459" t="s">
        <v>339</v>
      </c>
      <c r="D12" s="458" t="s">
        <v>145</v>
      </c>
      <c r="E12" s="457">
        <v>1850</v>
      </c>
      <c r="F12" s="457"/>
      <c r="G12" s="456">
        <f>E12*F12</f>
        <v>0</v>
      </c>
      <c r="H12" s="455">
        <v>0</v>
      </c>
      <c r="I12" s="454">
        <f>E12*H12</f>
        <v>0</v>
      </c>
      <c r="J12" s="455">
        <v>0</v>
      </c>
      <c r="K12" s="454">
        <f>E12*J12</f>
        <v>0</v>
      </c>
      <c r="O12" s="444">
        <v>2</v>
      </c>
      <c r="AA12" s="434">
        <v>1</v>
      </c>
      <c r="AB12" s="434">
        <v>1</v>
      </c>
      <c r="AC12" s="434">
        <v>1</v>
      </c>
      <c r="AZ12" s="434">
        <v>1</v>
      </c>
      <c r="BA12" s="434">
        <f>IF(AZ12=1,G12,0)</f>
        <v>0</v>
      </c>
      <c r="BB12" s="434">
        <f>IF(AZ12=2,G12,0)</f>
        <v>0</v>
      </c>
      <c r="BC12" s="434">
        <f>IF(AZ12=3,G12,0)</f>
        <v>0</v>
      </c>
      <c r="BD12" s="434">
        <f>IF(AZ12=4,G12,0)</f>
        <v>0</v>
      </c>
      <c r="BE12" s="434">
        <f>IF(AZ12=5,G12,0)</f>
        <v>0</v>
      </c>
      <c r="CA12" s="444">
        <v>1</v>
      </c>
      <c r="CB12" s="444">
        <v>1</v>
      </c>
    </row>
    <row r="13" spans="1:15" ht="12.75">
      <c r="A13" s="478"/>
      <c r="B13" s="477"/>
      <c r="C13" s="1621" t="s">
        <v>337</v>
      </c>
      <c r="D13" s="1589"/>
      <c r="E13" s="476">
        <v>2900</v>
      </c>
      <c r="F13" s="475"/>
      <c r="G13" s="230"/>
      <c r="H13" s="474"/>
      <c r="I13" s="473"/>
      <c r="J13" s="436"/>
      <c r="K13" s="473"/>
      <c r="M13" s="472" t="s">
        <v>337</v>
      </c>
      <c r="O13" s="444"/>
    </row>
    <row r="14" spans="1:15" ht="12.75">
      <c r="A14" s="478"/>
      <c r="B14" s="477"/>
      <c r="C14" s="1621" t="s">
        <v>336</v>
      </c>
      <c r="D14" s="1589"/>
      <c r="E14" s="476">
        <v>-1050</v>
      </c>
      <c r="F14" s="475"/>
      <c r="G14" s="230"/>
      <c r="H14" s="474"/>
      <c r="I14" s="473"/>
      <c r="J14" s="436"/>
      <c r="K14" s="473"/>
      <c r="M14" s="472" t="s">
        <v>336</v>
      </c>
      <c r="O14" s="444"/>
    </row>
    <row r="15" spans="1:57" ht="12.75">
      <c r="A15" s="453"/>
      <c r="B15" s="452" t="s">
        <v>175</v>
      </c>
      <c r="C15" s="451" t="s">
        <v>338</v>
      </c>
      <c r="D15" s="450"/>
      <c r="E15" s="449"/>
      <c r="F15" s="448"/>
      <c r="G15" s="447">
        <f>SUM(G7:G14)</f>
        <v>0</v>
      </c>
      <c r="H15" s="446"/>
      <c r="I15" s="445">
        <f>SUM(I7:I14)</f>
        <v>0.1309496</v>
      </c>
      <c r="J15" s="446"/>
      <c r="K15" s="445">
        <f>SUM(K7:K14)</f>
        <v>0</v>
      </c>
      <c r="O15" s="444">
        <v>4</v>
      </c>
      <c r="BA15" s="443">
        <f>SUM(BA7:BA14)</f>
        <v>0</v>
      </c>
      <c r="BB15" s="443">
        <f>SUM(BB7:BB14)</f>
        <v>0</v>
      </c>
      <c r="BC15" s="443">
        <f>SUM(BC7:BC14)</f>
        <v>0</v>
      </c>
      <c r="BD15" s="443">
        <f>SUM(BD7:BD14)</f>
        <v>0</v>
      </c>
      <c r="BE15" s="443">
        <f>SUM(BE7:BE14)</f>
        <v>0</v>
      </c>
    </row>
    <row r="16" spans="1:15" ht="12.75">
      <c r="A16" s="471" t="s">
        <v>140</v>
      </c>
      <c r="B16" s="470" t="s">
        <v>208</v>
      </c>
      <c r="C16" s="469" t="s">
        <v>209</v>
      </c>
      <c r="D16" s="468"/>
      <c r="E16" s="467"/>
      <c r="F16" s="467"/>
      <c r="G16" s="466"/>
      <c r="H16" s="465"/>
      <c r="I16" s="464"/>
      <c r="J16" s="463"/>
      <c r="K16" s="462"/>
      <c r="O16" s="444">
        <v>1</v>
      </c>
    </row>
    <row r="17" spans="1:80" ht="12.75">
      <c r="A17" s="461">
        <v>4</v>
      </c>
      <c r="B17" s="460" t="s">
        <v>210</v>
      </c>
      <c r="C17" s="459" t="s">
        <v>211</v>
      </c>
      <c r="D17" s="458" t="s">
        <v>145</v>
      </c>
      <c r="E17" s="457">
        <v>1850</v>
      </c>
      <c r="F17" s="457"/>
      <c r="G17" s="456">
        <f>E17*F17</f>
        <v>0</v>
      </c>
      <c r="H17" s="455">
        <v>4E-05</v>
      </c>
      <c r="I17" s="454">
        <f>E17*H17</f>
        <v>0.07400000000000001</v>
      </c>
      <c r="J17" s="455">
        <v>0</v>
      </c>
      <c r="K17" s="454">
        <f>E17*J17</f>
        <v>0</v>
      </c>
      <c r="O17" s="444">
        <v>2</v>
      </c>
      <c r="AA17" s="434">
        <v>1</v>
      </c>
      <c r="AB17" s="434">
        <v>1</v>
      </c>
      <c r="AC17" s="434">
        <v>1</v>
      </c>
      <c r="AZ17" s="434">
        <v>1</v>
      </c>
      <c r="BA17" s="434">
        <f>IF(AZ17=1,G17,0)</f>
        <v>0</v>
      </c>
      <c r="BB17" s="434">
        <f>IF(AZ17=2,G17,0)</f>
        <v>0</v>
      </c>
      <c r="BC17" s="434">
        <f>IF(AZ17=3,G17,0)</f>
        <v>0</v>
      </c>
      <c r="BD17" s="434">
        <f>IF(AZ17=4,G17,0)</f>
        <v>0</v>
      </c>
      <c r="BE17" s="434">
        <f>IF(AZ17=5,G17,0)</f>
        <v>0</v>
      </c>
      <c r="CA17" s="444">
        <v>1</v>
      </c>
      <c r="CB17" s="444">
        <v>1</v>
      </c>
    </row>
    <row r="18" spans="1:15" ht="12.75">
      <c r="A18" s="478"/>
      <c r="B18" s="477"/>
      <c r="C18" s="1621" t="s">
        <v>337</v>
      </c>
      <c r="D18" s="1589"/>
      <c r="E18" s="476">
        <v>2900</v>
      </c>
      <c r="F18" s="475"/>
      <c r="G18" s="230"/>
      <c r="H18" s="474"/>
      <c r="I18" s="473"/>
      <c r="J18" s="436"/>
      <c r="K18" s="473"/>
      <c r="M18" s="472" t="s">
        <v>337</v>
      </c>
      <c r="O18" s="444"/>
    </row>
    <row r="19" spans="1:15" ht="12.75">
      <c r="A19" s="478"/>
      <c r="B19" s="477"/>
      <c r="C19" s="1621" t="s">
        <v>336</v>
      </c>
      <c r="D19" s="1589"/>
      <c r="E19" s="476">
        <v>-1050</v>
      </c>
      <c r="F19" s="475"/>
      <c r="G19" s="230"/>
      <c r="H19" s="474"/>
      <c r="I19" s="473"/>
      <c r="J19" s="436"/>
      <c r="K19" s="473"/>
      <c r="M19" s="472" t="s">
        <v>336</v>
      </c>
      <c r="O19" s="444"/>
    </row>
    <row r="20" spans="1:57" ht="12.75">
      <c r="A20" s="453"/>
      <c r="B20" s="452" t="s">
        <v>175</v>
      </c>
      <c r="C20" s="451" t="s">
        <v>212</v>
      </c>
      <c r="D20" s="450"/>
      <c r="E20" s="449"/>
      <c r="F20" s="448"/>
      <c r="G20" s="447">
        <f>SUM(G16:G19)</f>
        <v>0</v>
      </c>
      <c r="H20" s="446"/>
      <c r="I20" s="445">
        <f>SUM(I16:I19)</f>
        <v>0.07400000000000001</v>
      </c>
      <c r="J20" s="446"/>
      <c r="K20" s="445">
        <f>SUM(K16:K19)</f>
        <v>0</v>
      </c>
      <c r="O20" s="444">
        <v>4</v>
      </c>
      <c r="BA20" s="443">
        <f>SUM(BA16:BA19)</f>
        <v>0</v>
      </c>
      <c r="BB20" s="443">
        <f>SUM(BB16:BB19)</f>
        <v>0</v>
      </c>
      <c r="BC20" s="443">
        <f>SUM(BC16:BC19)</f>
        <v>0</v>
      </c>
      <c r="BD20" s="443">
        <f>SUM(BD16:BD19)</f>
        <v>0</v>
      </c>
      <c r="BE20" s="443">
        <f>SUM(BE16:BE19)</f>
        <v>0</v>
      </c>
    </row>
    <row r="21" spans="1:15" ht="12.75">
      <c r="A21" s="471" t="s">
        <v>140</v>
      </c>
      <c r="B21" s="470" t="s">
        <v>234</v>
      </c>
      <c r="C21" s="469" t="s">
        <v>235</v>
      </c>
      <c r="D21" s="468"/>
      <c r="E21" s="467"/>
      <c r="F21" s="467"/>
      <c r="G21" s="466"/>
      <c r="H21" s="465"/>
      <c r="I21" s="464"/>
      <c r="J21" s="463"/>
      <c r="K21" s="462"/>
      <c r="O21" s="444">
        <v>1</v>
      </c>
    </row>
    <row r="22" spans="1:80" ht="12.75">
      <c r="A22" s="461">
        <v>5</v>
      </c>
      <c r="B22" s="460" t="s">
        <v>335</v>
      </c>
      <c r="C22" s="459" t="s">
        <v>334</v>
      </c>
      <c r="D22" s="458" t="s">
        <v>166</v>
      </c>
      <c r="E22" s="457">
        <v>0.2049496</v>
      </c>
      <c r="F22" s="457"/>
      <c r="G22" s="456">
        <f>E22*F22</f>
        <v>0</v>
      </c>
      <c r="H22" s="455">
        <v>0</v>
      </c>
      <c r="I22" s="454">
        <f>E22*H22</f>
        <v>0</v>
      </c>
      <c r="J22" s="455"/>
      <c r="K22" s="454">
        <f>E22*J22</f>
        <v>0</v>
      </c>
      <c r="O22" s="444">
        <v>2</v>
      </c>
      <c r="AA22" s="434">
        <v>7</v>
      </c>
      <c r="AB22" s="434">
        <v>1</v>
      </c>
      <c r="AC22" s="434">
        <v>2</v>
      </c>
      <c r="AZ22" s="434">
        <v>1</v>
      </c>
      <c r="BA22" s="434">
        <f>IF(AZ22=1,G22,0)</f>
        <v>0</v>
      </c>
      <c r="BB22" s="434">
        <f>IF(AZ22=2,G22,0)</f>
        <v>0</v>
      </c>
      <c r="BC22" s="434">
        <f>IF(AZ22=3,G22,0)</f>
        <v>0</v>
      </c>
      <c r="BD22" s="434">
        <f>IF(AZ22=4,G22,0)</f>
        <v>0</v>
      </c>
      <c r="BE22" s="434">
        <f>IF(AZ22=5,G22,0)</f>
        <v>0</v>
      </c>
      <c r="CA22" s="444">
        <v>7</v>
      </c>
      <c r="CB22" s="444">
        <v>1</v>
      </c>
    </row>
    <row r="23" spans="1:57" ht="12.75">
      <c r="A23" s="453"/>
      <c r="B23" s="452" t="s">
        <v>175</v>
      </c>
      <c r="C23" s="451" t="s">
        <v>238</v>
      </c>
      <c r="D23" s="450"/>
      <c r="E23" s="449"/>
      <c r="F23" s="448"/>
      <c r="G23" s="447">
        <f>SUM(G21:G22)</f>
        <v>0</v>
      </c>
      <c r="H23" s="446"/>
      <c r="I23" s="445">
        <f>SUM(I21:I22)</f>
        <v>0</v>
      </c>
      <c r="J23" s="446"/>
      <c r="K23" s="445">
        <f>SUM(K21:K22)</f>
        <v>0</v>
      </c>
      <c r="O23" s="444">
        <v>4</v>
      </c>
      <c r="BA23" s="443">
        <f>SUM(BA21:BA22)</f>
        <v>0</v>
      </c>
      <c r="BB23" s="443">
        <f>SUM(BB21:BB22)</f>
        <v>0</v>
      </c>
      <c r="BC23" s="443">
        <f>SUM(BC21:BC22)</f>
        <v>0</v>
      </c>
      <c r="BD23" s="443">
        <f>SUM(BD21:BD22)</f>
        <v>0</v>
      </c>
      <c r="BE23" s="443">
        <f>SUM(BE21:BE22)</f>
        <v>0</v>
      </c>
    </row>
    <row r="24" ht="12.75">
      <c r="E24" s="434"/>
    </row>
    <row r="25" ht="12.75">
      <c r="E25" s="434"/>
    </row>
    <row r="26" ht="12.75">
      <c r="E26" s="434"/>
    </row>
    <row r="27" ht="12.75">
      <c r="E27" s="434"/>
    </row>
    <row r="28" ht="12.75">
      <c r="E28" s="434"/>
    </row>
    <row r="29" ht="12.75">
      <c r="E29" s="434"/>
    </row>
    <row r="30" ht="12.75">
      <c r="E30" s="434"/>
    </row>
    <row r="31" ht="12.75">
      <c r="E31" s="434"/>
    </row>
    <row r="32" ht="12.75">
      <c r="E32" s="434"/>
    </row>
    <row r="33" ht="12.75">
      <c r="E33" s="434"/>
    </row>
    <row r="34" ht="12.75">
      <c r="E34" s="434"/>
    </row>
    <row r="35" ht="12.75">
      <c r="E35" s="434"/>
    </row>
    <row r="36" ht="12.75">
      <c r="E36" s="434"/>
    </row>
    <row r="37" ht="12.75">
      <c r="E37" s="434"/>
    </row>
    <row r="38" ht="12.75">
      <c r="E38" s="434"/>
    </row>
    <row r="39" ht="12.75">
      <c r="E39" s="434"/>
    </row>
    <row r="40" ht="12.75">
      <c r="E40" s="434"/>
    </row>
    <row r="41" ht="12.75">
      <c r="E41" s="434"/>
    </row>
    <row r="42" ht="12.75">
      <c r="E42" s="434"/>
    </row>
    <row r="43" ht="12.75">
      <c r="E43" s="434"/>
    </row>
    <row r="44" ht="12.75">
      <c r="E44" s="434"/>
    </row>
    <row r="45" ht="12.75">
      <c r="E45" s="434"/>
    </row>
    <row r="46" ht="12.75">
      <c r="E46" s="434"/>
    </row>
    <row r="47" spans="1:7" ht="12.75">
      <c r="A47" s="436"/>
      <c r="B47" s="436"/>
      <c r="C47" s="436"/>
      <c r="D47" s="436"/>
      <c r="E47" s="436"/>
      <c r="F47" s="436"/>
      <c r="G47" s="436"/>
    </row>
    <row r="48" spans="1:7" ht="12.75">
      <c r="A48" s="436"/>
      <c r="B48" s="436"/>
      <c r="C48" s="436"/>
      <c r="D48" s="436"/>
      <c r="E48" s="436"/>
      <c r="F48" s="436"/>
      <c r="G48" s="436"/>
    </row>
    <row r="49" spans="1:7" ht="12.75">
      <c r="A49" s="436"/>
      <c r="B49" s="436"/>
      <c r="C49" s="436"/>
      <c r="D49" s="436"/>
      <c r="E49" s="436"/>
      <c r="F49" s="436"/>
      <c r="G49" s="436"/>
    </row>
    <row r="50" spans="1:7" ht="12.75">
      <c r="A50" s="436"/>
      <c r="B50" s="436"/>
      <c r="C50" s="436"/>
      <c r="D50" s="436"/>
      <c r="E50" s="436"/>
      <c r="F50" s="436"/>
      <c r="G50" s="436"/>
    </row>
    <row r="51" ht="12.75">
      <c r="E51" s="434"/>
    </row>
    <row r="52" ht="12.75">
      <c r="E52" s="434"/>
    </row>
    <row r="53" ht="12.75">
      <c r="E53" s="434"/>
    </row>
    <row r="54" ht="12.75">
      <c r="E54" s="434"/>
    </row>
    <row r="55" ht="12.75">
      <c r="E55" s="434"/>
    </row>
    <row r="56" ht="12.75">
      <c r="E56" s="434"/>
    </row>
    <row r="57" ht="12.75">
      <c r="E57" s="434"/>
    </row>
    <row r="58" ht="12.75">
      <c r="E58" s="434"/>
    </row>
    <row r="59" ht="12.75">
      <c r="E59" s="434"/>
    </row>
    <row r="60" ht="12.75">
      <c r="E60" s="434"/>
    </row>
    <row r="61" ht="12.75">
      <c r="E61" s="434"/>
    </row>
    <row r="62" ht="12.75">
      <c r="E62" s="434"/>
    </row>
    <row r="63" ht="12.75">
      <c r="E63" s="434"/>
    </row>
    <row r="64" ht="12.75">
      <c r="E64" s="434"/>
    </row>
    <row r="65" ht="12.75">
      <c r="E65" s="434"/>
    </row>
    <row r="66" ht="12.75">
      <c r="E66" s="434"/>
    </row>
    <row r="67" ht="12.75">
      <c r="E67" s="434"/>
    </row>
    <row r="68" ht="12.75">
      <c r="E68" s="434"/>
    </row>
    <row r="69" ht="12.75">
      <c r="E69" s="434"/>
    </row>
    <row r="70" ht="12.75">
      <c r="E70" s="434"/>
    </row>
    <row r="71" ht="12.75">
      <c r="E71" s="434"/>
    </row>
    <row r="72" ht="12.75">
      <c r="E72" s="434"/>
    </row>
    <row r="73" ht="12.75">
      <c r="E73" s="434"/>
    </row>
    <row r="74" ht="12.75">
      <c r="E74" s="434"/>
    </row>
    <row r="75" ht="12.75">
      <c r="E75" s="434"/>
    </row>
    <row r="76" ht="12.75">
      <c r="E76" s="434"/>
    </row>
    <row r="77" ht="12.75">
      <c r="E77" s="434"/>
    </row>
    <row r="78" ht="12.75">
      <c r="E78" s="434"/>
    </row>
    <row r="79" ht="12.75">
      <c r="E79" s="434"/>
    </row>
    <row r="80" ht="12.75">
      <c r="E80" s="434"/>
    </row>
    <row r="81" ht="12.75">
      <c r="E81" s="434"/>
    </row>
    <row r="82" spans="1:2" ht="12.75">
      <c r="A82" s="442"/>
      <c r="B82" s="442"/>
    </row>
    <row r="83" spans="1:7" ht="12.75">
      <c r="A83" s="436"/>
      <c r="B83" s="436"/>
      <c r="C83" s="440"/>
      <c r="D83" s="440"/>
      <c r="E83" s="441"/>
      <c r="F83" s="440"/>
      <c r="G83" s="439"/>
    </row>
    <row r="84" spans="1:7" ht="12.75">
      <c r="A84" s="438"/>
      <c r="B84" s="438"/>
      <c r="C84" s="436"/>
      <c r="D84" s="436"/>
      <c r="E84" s="437"/>
      <c r="F84" s="436"/>
      <c r="G84" s="436"/>
    </row>
    <row r="85" spans="1:7" ht="12.75">
      <c r="A85" s="436"/>
      <c r="B85" s="436"/>
      <c r="C85" s="436"/>
      <c r="D85" s="436"/>
      <c r="E85" s="437"/>
      <c r="F85" s="436"/>
      <c r="G85" s="436"/>
    </row>
    <row r="86" spans="1:7" ht="12.75">
      <c r="A86" s="436"/>
      <c r="B86" s="436"/>
      <c r="C86" s="436"/>
      <c r="D86" s="436"/>
      <c r="E86" s="437"/>
      <c r="F86" s="436"/>
      <c r="G86" s="436"/>
    </row>
    <row r="87" spans="1:7" ht="12.75">
      <c r="A87" s="436"/>
      <c r="B87" s="436"/>
      <c r="C87" s="436"/>
      <c r="D87" s="436"/>
      <c r="E87" s="437"/>
      <c r="F87" s="436"/>
      <c r="G87" s="436"/>
    </row>
    <row r="88" spans="1:7" ht="12.75">
      <c r="A88" s="436"/>
      <c r="B88" s="436"/>
      <c r="C88" s="436"/>
      <c r="D88" s="436"/>
      <c r="E88" s="437"/>
      <c r="F88" s="436"/>
      <c r="G88" s="436"/>
    </row>
    <row r="89" spans="1:7" ht="12.75">
      <c r="A89" s="436"/>
      <c r="B89" s="436"/>
      <c r="C89" s="436"/>
      <c r="D89" s="436"/>
      <c r="E89" s="437"/>
      <c r="F89" s="436"/>
      <c r="G89" s="436"/>
    </row>
    <row r="90" spans="1:7" ht="12.75">
      <c r="A90" s="436"/>
      <c r="B90" s="436"/>
      <c r="C90" s="436"/>
      <c r="D90" s="436"/>
      <c r="E90" s="437"/>
      <c r="F90" s="436"/>
      <c r="G90" s="436"/>
    </row>
    <row r="91" spans="1:7" ht="12.75">
      <c r="A91" s="436"/>
      <c r="B91" s="436"/>
      <c r="C91" s="436"/>
      <c r="D91" s="436"/>
      <c r="E91" s="437"/>
      <c r="F91" s="436"/>
      <c r="G91" s="436"/>
    </row>
    <row r="92" spans="1:7" ht="12.75">
      <c r="A92" s="436"/>
      <c r="B92" s="436"/>
      <c r="C92" s="436"/>
      <c r="D92" s="436"/>
      <c r="E92" s="437"/>
      <c r="F92" s="436"/>
      <c r="G92" s="436"/>
    </row>
    <row r="93" spans="1:7" ht="12.75">
      <c r="A93" s="436"/>
      <c r="B93" s="436"/>
      <c r="C93" s="436"/>
      <c r="D93" s="436"/>
      <c r="E93" s="437"/>
      <c r="F93" s="436"/>
      <c r="G93" s="436"/>
    </row>
    <row r="94" spans="1:7" ht="12.75">
      <c r="A94" s="436"/>
      <c r="B94" s="436"/>
      <c r="C94" s="436"/>
      <c r="D94" s="436"/>
      <c r="E94" s="437"/>
      <c r="F94" s="436"/>
      <c r="G94" s="436"/>
    </row>
    <row r="95" spans="1:7" ht="12.75">
      <c r="A95" s="436"/>
      <c r="B95" s="436"/>
      <c r="C95" s="436"/>
      <c r="D95" s="436"/>
      <c r="E95" s="437"/>
      <c r="F95" s="436"/>
      <c r="G95" s="436"/>
    </row>
    <row r="96" spans="1:7" ht="12.75">
      <c r="A96" s="436"/>
      <c r="B96" s="436"/>
      <c r="C96" s="436"/>
      <c r="D96" s="436"/>
      <c r="E96" s="437"/>
      <c r="F96" s="436"/>
      <c r="G96" s="436"/>
    </row>
  </sheetData>
  <mergeCells count="10">
    <mergeCell ref="C18:D18"/>
    <mergeCell ref="C19:D19"/>
    <mergeCell ref="A1:G1"/>
    <mergeCell ref="A3:B3"/>
    <mergeCell ref="A4:B4"/>
    <mergeCell ref="E4:G4"/>
    <mergeCell ref="C9:D9"/>
    <mergeCell ref="C11:D11"/>
    <mergeCell ref="C13:D13"/>
    <mergeCell ref="C14:D14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BE51"/>
  <sheetViews>
    <sheetView workbookViewId="0" topLeftCell="A1">
      <selection activeCell="K40" sqref="K40"/>
    </sheetView>
  </sheetViews>
  <sheetFormatPr defaultColWidth="9.125" defaultRowHeight="12.75"/>
  <cols>
    <col min="1" max="1" width="2.00390625" style="288" customWidth="1"/>
    <col min="2" max="2" width="15.00390625" style="288" customWidth="1"/>
    <col min="3" max="3" width="15.875" style="288" customWidth="1"/>
    <col min="4" max="4" width="14.50390625" style="288" customWidth="1"/>
    <col min="5" max="5" width="13.50390625" style="288" customWidth="1"/>
    <col min="6" max="6" width="16.50390625" style="288" customWidth="1"/>
    <col min="7" max="7" width="15.375" style="288" customWidth="1"/>
    <col min="8" max="16384" width="9.125" style="288" customWidth="1"/>
  </cols>
  <sheetData>
    <row r="1" spans="1:7" ht="24.75" customHeight="1" thickBot="1">
      <c r="A1" s="286" t="s">
        <v>126</v>
      </c>
      <c r="B1" s="287"/>
      <c r="C1" s="287"/>
      <c r="D1" s="287"/>
      <c r="E1" s="287"/>
      <c r="F1" s="287"/>
      <c r="G1" s="287"/>
    </row>
    <row r="2" spans="1:7" ht="12.75" customHeight="1">
      <c r="A2" s="289" t="s">
        <v>125</v>
      </c>
      <c r="B2" s="290"/>
      <c r="C2" s="291" t="s">
        <v>80</v>
      </c>
      <c r="D2" s="291" t="s">
        <v>77</v>
      </c>
      <c r="E2" s="292"/>
      <c r="F2" s="293" t="s">
        <v>124</v>
      </c>
      <c r="G2" s="294"/>
    </row>
    <row r="3" spans="1:7" ht="3" customHeight="1" hidden="1">
      <c r="A3" s="295"/>
      <c r="B3" s="296"/>
      <c r="C3" s="297"/>
      <c r="D3" s="297"/>
      <c r="E3" s="298"/>
      <c r="F3" s="299"/>
      <c r="G3" s="300"/>
    </row>
    <row r="4" spans="1:7" ht="12" customHeight="1">
      <c r="A4" s="301" t="s">
        <v>123</v>
      </c>
      <c r="B4" s="296"/>
      <c r="C4" s="297"/>
      <c r="D4" s="297"/>
      <c r="E4" s="298"/>
      <c r="F4" s="299" t="s">
        <v>122</v>
      </c>
      <c r="G4" s="302"/>
    </row>
    <row r="5" spans="1:7" ht="12.9" customHeight="1">
      <c r="A5" s="303" t="s">
        <v>18</v>
      </c>
      <c r="B5" s="304"/>
      <c r="C5" s="305" t="s">
        <v>19</v>
      </c>
      <c r="D5" s="306"/>
      <c r="E5" s="304"/>
      <c r="F5" s="299" t="s">
        <v>121</v>
      </c>
      <c r="G5" s="300"/>
    </row>
    <row r="6" spans="1:15" ht="12.9" customHeight="1">
      <c r="A6" s="301" t="s">
        <v>120</v>
      </c>
      <c r="B6" s="296"/>
      <c r="C6" s="297"/>
      <c r="D6" s="297"/>
      <c r="E6" s="298"/>
      <c r="F6" s="307" t="s">
        <v>119</v>
      </c>
      <c r="G6" s="308">
        <v>0</v>
      </c>
      <c r="O6" s="309"/>
    </row>
    <row r="7" spans="1:7" ht="12.9" customHeight="1">
      <c r="A7" s="310" t="s">
        <v>12</v>
      </c>
      <c r="B7" s="311"/>
      <c r="C7" s="312" t="s">
        <v>13</v>
      </c>
      <c r="D7" s="313"/>
      <c r="E7" s="313"/>
      <c r="F7" s="314" t="s">
        <v>118</v>
      </c>
      <c r="G7" s="308">
        <f>IF(G6=0,,ROUND((F30+F32)/G6,1))</f>
        <v>0</v>
      </c>
    </row>
    <row r="8" spans="1:9" ht="12.75">
      <c r="A8" s="315" t="s">
        <v>117</v>
      </c>
      <c r="B8" s="299"/>
      <c r="C8" s="1603"/>
      <c r="D8" s="1603"/>
      <c r="E8" s="1604"/>
      <c r="F8" s="316" t="s">
        <v>116</v>
      </c>
      <c r="G8" s="317"/>
      <c r="H8" s="318"/>
      <c r="I8" s="319"/>
    </row>
    <row r="9" spans="1:8" ht="12.75">
      <c r="A9" s="315" t="s">
        <v>115</v>
      </c>
      <c r="B9" s="299"/>
      <c r="C9" s="1603"/>
      <c r="D9" s="1603"/>
      <c r="E9" s="1604"/>
      <c r="F9" s="299"/>
      <c r="G9" s="320"/>
      <c r="H9" s="321"/>
    </row>
    <row r="10" spans="1:8" ht="12.75">
      <c r="A10" s="315" t="s">
        <v>114</v>
      </c>
      <c r="B10" s="299"/>
      <c r="C10" s="1603"/>
      <c r="D10" s="1603"/>
      <c r="E10" s="1603"/>
      <c r="F10" s="322"/>
      <c r="G10" s="323"/>
      <c r="H10" s="324"/>
    </row>
    <row r="11" spans="1:57" ht="13.5" customHeight="1">
      <c r="A11" s="315" t="s">
        <v>113</v>
      </c>
      <c r="B11" s="299"/>
      <c r="C11" s="1603"/>
      <c r="D11" s="1603"/>
      <c r="E11" s="1603"/>
      <c r="F11" s="325" t="s">
        <v>112</v>
      </c>
      <c r="G11" s="326"/>
      <c r="H11" s="321"/>
      <c r="BA11" s="327"/>
      <c r="BB11" s="327"/>
      <c r="BC11" s="327"/>
      <c r="BD11" s="327"/>
      <c r="BE11" s="327"/>
    </row>
    <row r="12" spans="1:8" ht="12.75" customHeight="1">
      <c r="A12" s="328" t="s">
        <v>111</v>
      </c>
      <c r="B12" s="296"/>
      <c r="C12" s="1605"/>
      <c r="D12" s="1605"/>
      <c r="E12" s="1605"/>
      <c r="F12" s="329" t="s">
        <v>110</v>
      </c>
      <c r="G12" s="330"/>
      <c r="H12" s="321"/>
    </row>
    <row r="13" spans="1:8" ht="28.5" customHeight="1" thickBot="1">
      <c r="A13" s="331" t="s">
        <v>109</v>
      </c>
      <c r="B13" s="332"/>
      <c r="C13" s="332"/>
      <c r="D13" s="332"/>
      <c r="E13" s="333"/>
      <c r="F13" s="333"/>
      <c r="G13" s="334"/>
      <c r="H13" s="321"/>
    </row>
    <row r="14" spans="1:7" ht="17.25" customHeight="1" thickBot="1">
      <c r="A14" s="335" t="s">
        <v>108</v>
      </c>
      <c r="B14" s="336"/>
      <c r="C14" s="337"/>
      <c r="D14" s="338" t="s">
        <v>107</v>
      </c>
      <c r="E14" s="339"/>
      <c r="F14" s="339"/>
      <c r="G14" s="337"/>
    </row>
    <row r="15" spans="1:7" ht="15.9" customHeight="1">
      <c r="A15" s="340"/>
      <c r="B15" s="341" t="s">
        <v>106</v>
      </c>
      <c r="C15" s="342">
        <f>'r04 1R'!E41</f>
        <v>0</v>
      </c>
      <c r="D15" s="343" t="str">
        <f>'r04 1R'!A46</f>
        <v>Ztížené výrobní podmínky</v>
      </c>
      <c r="E15" s="344"/>
      <c r="F15" s="345"/>
      <c r="G15" s="342">
        <f>'r04 1R'!I46</f>
        <v>0</v>
      </c>
    </row>
    <row r="16" spans="1:7" ht="15.9" customHeight="1">
      <c r="A16" s="340" t="s">
        <v>105</v>
      </c>
      <c r="B16" s="341" t="s">
        <v>104</v>
      </c>
      <c r="C16" s="342">
        <f>'r04 1R'!F41</f>
        <v>0</v>
      </c>
      <c r="D16" s="295" t="str">
        <f>'r04 1R'!A47</f>
        <v>Oborová přirážka</v>
      </c>
      <c r="E16" s="346"/>
      <c r="F16" s="347"/>
      <c r="G16" s="342">
        <f>'r04 1R'!I47</f>
        <v>0</v>
      </c>
    </row>
    <row r="17" spans="1:7" ht="15.9" customHeight="1">
      <c r="A17" s="340" t="s">
        <v>103</v>
      </c>
      <c r="B17" s="341" t="s">
        <v>102</v>
      </c>
      <c r="C17" s="342">
        <f>'r04 1R'!H41</f>
        <v>0</v>
      </c>
      <c r="D17" s="295" t="str">
        <f>'r04 1R'!A48</f>
        <v>Přesun stavebních kapacit</v>
      </c>
      <c r="E17" s="346"/>
      <c r="F17" s="347"/>
      <c r="G17" s="342">
        <f>'r04 1R'!I48</f>
        <v>0</v>
      </c>
    </row>
    <row r="18" spans="1:7" ht="15.9" customHeight="1">
      <c r="A18" s="348" t="s">
        <v>101</v>
      </c>
      <c r="B18" s="349" t="s">
        <v>100</v>
      </c>
      <c r="C18" s="342">
        <f>'r04 1R'!G41</f>
        <v>0</v>
      </c>
      <c r="D18" s="295" t="str">
        <f>'r04 1R'!A49</f>
        <v>Mimostaveništní doprava</v>
      </c>
      <c r="E18" s="346"/>
      <c r="F18" s="347"/>
      <c r="G18" s="342">
        <f>'r04 1R'!I49</f>
        <v>0</v>
      </c>
    </row>
    <row r="19" spans="1:7" ht="15.9" customHeight="1">
      <c r="A19" s="350" t="s">
        <v>99</v>
      </c>
      <c r="B19" s="341"/>
      <c r="C19" s="342">
        <f>SUM(C15:C18)</f>
        <v>0</v>
      </c>
      <c r="D19" s="295" t="str">
        <f>'r04 1R'!A50</f>
        <v>Zařízení staveniště</v>
      </c>
      <c r="E19" s="346"/>
      <c r="F19" s="347"/>
      <c r="G19" s="342">
        <f>'r04 1R'!I50</f>
        <v>0</v>
      </c>
    </row>
    <row r="20" spans="1:7" ht="15.9" customHeight="1">
      <c r="A20" s="350"/>
      <c r="B20" s="341"/>
      <c r="C20" s="342"/>
      <c r="D20" s="295" t="str">
        <f>'r04 1R'!A51</f>
        <v>Provoz investora</v>
      </c>
      <c r="E20" s="346"/>
      <c r="F20" s="347"/>
      <c r="G20" s="342">
        <f>'r04 1R'!I51</f>
        <v>0</v>
      </c>
    </row>
    <row r="21" spans="1:7" ht="15.9" customHeight="1">
      <c r="A21" s="350" t="s">
        <v>70</v>
      </c>
      <c r="B21" s="341"/>
      <c r="C21" s="342">
        <f>'r04 1R'!I41</f>
        <v>0</v>
      </c>
      <c r="D21" s="295" t="str">
        <f>'r04 1R'!A52</f>
        <v>Kompletační činnost (IČD)</v>
      </c>
      <c r="E21" s="346"/>
      <c r="F21" s="347"/>
      <c r="G21" s="342">
        <f>'r04 1R'!I52</f>
        <v>0</v>
      </c>
    </row>
    <row r="22" spans="1:7" ht="15.9" customHeight="1">
      <c r="A22" s="351" t="s">
        <v>98</v>
      </c>
      <c r="B22" s="321"/>
      <c r="C22" s="342">
        <f>C19+C21</f>
        <v>0</v>
      </c>
      <c r="D22" s="295" t="s">
        <v>97</v>
      </c>
      <c r="E22" s="346"/>
      <c r="F22" s="347"/>
      <c r="G22" s="342">
        <f>G23-SUM(G15:G21)</f>
        <v>0</v>
      </c>
    </row>
    <row r="23" spans="1:7" ht="15.9" customHeight="1" thickBot="1">
      <c r="A23" s="1601" t="s">
        <v>96</v>
      </c>
      <c r="B23" s="1602"/>
      <c r="C23" s="352">
        <f>C22+G23</f>
        <v>0</v>
      </c>
      <c r="D23" s="353" t="s">
        <v>95</v>
      </c>
      <c r="E23" s="354"/>
      <c r="F23" s="355"/>
      <c r="G23" s="342">
        <f>'r04 1R'!H54</f>
        <v>0</v>
      </c>
    </row>
    <row r="24" spans="1:7" ht="12.75">
      <c r="A24" s="356" t="s">
        <v>94</v>
      </c>
      <c r="B24" s="357"/>
      <c r="C24" s="358"/>
      <c r="D24" s="357" t="s">
        <v>93</v>
      </c>
      <c r="E24" s="357"/>
      <c r="F24" s="359" t="s">
        <v>92</v>
      </c>
      <c r="G24" s="360"/>
    </row>
    <row r="25" spans="1:7" ht="12.75">
      <c r="A25" s="351" t="s">
        <v>91</v>
      </c>
      <c r="B25" s="321"/>
      <c r="C25" s="361"/>
      <c r="D25" s="321" t="s">
        <v>91</v>
      </c>
      <c r="F25" s="362" t="s">
        <v>91</v>
      </c>
      <c r="G25" s="363"/>
    </row>
    <row r="26" spans="1:7" ht="37.5" customHeight="1">
      <c r="A26" s="351" t="s">
        <v>90</v>
      </c>
      <c r="B26" s="364"/>
      <c r="C26" s="361"/>
      <c r="D26" s="321" t="s">
        <v>90</v>
      </c>
      <c r="F26" s="362" t="s">
        <v>90</v>
      </c>
      <c r="G26" s="363"/>
    </row>
    <row r="27" spans="1:7" ht="12.75">
      <c r="A27" s="351"/>
      <c r="B27" s="365"/>
      <c r="C27" s="361"/>
      <c r="D27" s="321"/>
      <c r="F27" s="362"/>
      <c r="G27" s="363"/>
    </row>
    <row r="28" spans="1:7" ht="12.75">
      <c r="A28" s="351" t="s">
        <v>89</v>
      </c>
      <c r="B28" s="321"/>
      <c r="C28" s="361"/>
      <c r="D28" s="362" t="s">
        <v>88</v>
      </c>
      <c r="E28" s="361"/>
      <c r="F28" s="366" t="s">
        <v>88</v>
      </c>
      <c r="G28" s="363"/>
    </row>
    <row r="29" spans="1:7" ht="69" customHeight="1">
      <c r="A29" s="351"/>
      <c r="B29" s="321"/>
      <c r="C29" s="367"/>
      <c r="D29" s="368"/>
      <c r="E29" s="367"/>
      <c r="F29" s="321"/>
      <c r="G29" s="363"/>
    </row>
    <row r="30" spans="1:7" ht="12.75">
      <c r="A30" s="369" t="s">
        <v>8</v>
      </c>
      <c r="B30" s="370"/>
      <c r="C30" s="371">
        <v>21</v>
      </c>
      <c r="D30" s="370" t="s">
        <v>87</v>
      </c>
      <c r="E30" s="372"/>
      <c r="F30" s="1607">
        <f>C23-F32</f>
        <v>0</v>
      </c>
      <c r="G30" s="1608"/>
    </row>
    <row r="31" spans="1:7" ht="12.75">
      <c r="A31" s="369" t="s">
        <v>86</v>
      </c>
      <c r="B31" s="370"/>
      <c r="C31" s="371">
        <f>C30</f>
        <v>21</v>
      </c>
      <c r="D31" s="370" t="s">
        <v>85</v>
      </c>
      <c r="E31" s="372"/>
      <c r="F31" s="1607">
        <f>ROUND(PRODUCT(F30,C31/100),0)</f>
        <v>0</v>
      </c>
      <c r="G31" s="1608"/>
    </row>
    <row r="32" spans="1:7" ht="12.75">
      <c r="A32" s="369" t="s">
        <v>8</v>
      </c>
      <c r="B32" s="370"/>
      <c r="C32" s="371">
        <v>0</v>
      </c>
      <c r="D32" s="370" t="s">
        <v>85</v>
      </c>
      <c r="E32" s="372"/>
      <c r="F32" s="1607">
        <v>0</v>
      </c>
      <c r="G32" s="1608"/>
    </row>
    <row r="33" spans="1:7" ht="12.75">
      <c r="A33" s="369" t="s">
        <v>86</v>
      </c>
      <c r="B33" s="373"/>
      <c r="C33" s="374">
        <f>C32</f>
        <v>0</v>
      </c>
      <c r="D33" s="370" t="s">
        <v>85</v>
      </c>
      <c r="E33" s="347"/>
      <c r="F33" s="1607">
        <f>ROUND(PRODUCT(F32,C33/100),0)</f>
        <v>0</v>
      </c>
      <c r="G33" s="1608"/>
    </row>
    <row r="34" spans="1:7" s="378" customFormat="1" ht="19.5" customHeight="1" thickBot="1">
      <c r="A34" s="375" t="s">
        <v>84</v>
      </c>
      <c r="B34" s="376"/>
      <c r="C34" s="376"/>
      <c r="D34" s="376"/>
      <c r="E34" s="377"/>
      <c r="F34" s="1609">
        <f>ROUND(SUM(F30:F33),0)</f>
        <v>0</v>
      </c>
      <c r="G34" s="1610"/>
    </row>
    <row r="36" spans="1:8" ht="12.75">
      <c r="A36" s="379" t="s">
        <v>83</v>
      </c>
      <c r="B36" s="379"/>
      <c r="C36" s="379"/>
      <c r="D36" s="379"/>
      <c r="E36" s="379"/>
      <c r="F36" s="379"/>
      <c r="G36" s="379"/>
      <c r="H36" s="288" t="s">
        <v>1</v>
      </c>
    </row>
    <row r="37" spans="1:8" ht="14.25" customHeight="1">
      <c r="A37" s="379"/>
      <c r="B37" s="1611"/>
      <c r="C37" s="1611"/>
      <c r="D37" s="1611"/>
      <c r="E37" s="1611"/>
      <c r="F37" s="1611"/>
      <c r="G37" s="1611"/>
      <c r="H37" s="288" t="s">
        <v>1</v>
      </c>
    </row>
    <row r="38" spans="1:8" ht="12.75" customHeight="1">
      <c r="A38" s="380"/>
      <c r="B38" s="1611"/>
      <c r="C38" s="1611"/>
      <c r="D38" s="1611"/>
      <c r="E38" s="1611"/>
      <c r="F38" s="1611"/>
      <c r="G38" s="1611"/>
      <c r="H38" s="288" t="s">
        <v>1</v>
      </c>
    </row>
    <row r="39" spans="1:8" ht="12.75">
      <c r="A39" s="380"/>
      <c r="B39" s="1611"/>
      <c r="C39" s="1611"/>
      <c r="D39" s="1611"/>
      <c r="E39" s="1611"/>
      <c r="F39" s="1611"/>
      <c r="G39" s="1611"/>
      <c r="H39" s="288" t="s">
        <v>1</v>
      </c>
    </row>
    <row r="40" spans="1:8" ht="12.75">
      <c r="A40" s="380"/>
      <c r="B40" s="1611"/>
      <c r="C40" s="1611"/>
      <c r="D40" s="1611"/>
      <c r="E40" s="1611"/>
      <c r="F40" s="1611"/>
      <c r="G40" s="1611"/>
      <c r="H40" s="288" t="s">
        <v>1</v>
      </c>
    </row>
    <row r="41" spans="1:8" ht="12.75">
      <c r="A41" s="380"/>
      <c r="B41" s="1611"/>
      <c r="C41" s="1611"/>
      <c r="D41" s="1611"/>
      <c r="E41" s="1611"/>
      <c r="F41" s="1611"/>
      <c r="G41" s="1611"/>
      <c r="H41" s="288" t="s">
        <v>1</v>
      </c>
    </row>
    <row r="42" spans="1:8" ht="12.75">
      <c r="A42" s="380"/>
      <c r="B42" s="1611"/>
      <c r="C42" s="1611"/>
      <c r="D42" s="1611"/>
      <c r="E42" s="1611"/>
      <c r="F42" s="1611"/>
      <c r="G42" s="1611"/>
      <c r="H42" s="288" t="s">
        <v>1</v>
      </c>
    </row>
    <row r="43" spans="1:8" ht="12.75">
      <c r="A43" s="380"/>
      <c r="B43" s="1611"/>
      <c r="C43" s="1611"/>
      <c r="D43" s="1611"/>
      <c r="E43" s="1611"/>
      <c r="F43" s="1611"/>
      <c r="G43" s="1611"/>
      <c r="H43" s="288" t="s">
        <v>1</v>
      </c>
    </row>
    <row r="44" spans="1:8" ht="12.75" customHeight="1">
      <c r="A44" s="380"/>
      <c r="B44" s="1611"/>
      <c r="C44" s="1611"/>
      <c r="D44" s="1611"/>
      <c r="E44" s="1611"/>
      <c r="F44" s="1611"/>
      <c r="G44" s="1611"/>
      <c r="H44" s="288" t="s">
        <v>1</v>
      </c>
    </row>
    <row r="45" spans="1:8" ht="12.75" customHeight="1">
      <c r="A45" s="380"/>
      <c r="B45" s="1611"/>
      <c r="C45" s="1611"/>
      <c r="D45" s="1611"/>
      <c r="E45" s="1611"/>
      <c r="F45" s="1611"/>
      <c r="G45" s="1611"/>
      <c r="H45" s="288" t="s">
        <v>1</v>
      </c>
    </row>
    <row r="46" spans="2:7" ht="12.75">
      <c r="B46" s="1606"/>
      <c r="C46" s="1606"/>
      <c r="D46" s="1606"/>
      <c r="E46" s="1606"/>
      <c r="F46" s="1606"/>
      <c r="G46" s="1606"/>
    </row>
    <row r="47" spans="2:7" ht="12.75">
      <c r="B47" s="1606"/>
      <c r="C47" s="1606"/>
      <c r="D47" s="1606"/>
      <c r="E47" s="1606"/>
      <c r="F47" s="1606"/>
      <c r="G47" s="1606"/>
    </row>
    <row r="48" spans="2:7" ht="12.75">
      <c r="B48" s="1606"/>
      <c r="C48" s="1606"/>
      <c r="D48" s="1606"/>
      <c r="E48" s="1606"/>
      <c r="F48" s="1606"/>
      <c r="G48" s="1606"/>
    </row>
    <row r="49" spans="2:7" ht="12.75">
      <c r="B49" s="1606"/>
      <c r="C49" s="1606"/>
      <c r="D49" s="1606"/>
      <c r="E49" s="1606"/>
      <c r="F49" s="1606"/>
      <c r="G49" s="1606"/>
    </row>
    <row r="50" spans="2:7" ht="12.75">
      <c r="B50" s="1606"/>
      <c r="C50" s="1606"/>
      <c r="D50" s="1606"/>
      <c r="E50" s="1606"/>
      <c r="F50" s="1606"/>
      <c r="G50" s="1606"/>
    </row>
    <row r="51" spans="2:7" ht="12.75">
      <c r="B51" s="1606"/>
      <c r="C51" s="1606"/>
      <c r="D51" s="1606"/>
      <c r="E51" s="1606"/>
      <c r="F51" s="1606"/>
      <c r="G51" s="1606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BE105"/>
  <sheetViews>
    <sheetView workbookViewId="0" topLeftCell="A25">
      <selection activeCell="A1" sqref="A1:B1"/>
    </sheetView>
  </sheetViews>
  <sheetFormatPr defaultColWidth="9.125" defaultRowHeight="12.75"/>
  <cols>
    <col min="1" max="1" width="5.875" style="288" customWidth="1"/>
    <col min="2" max="2" width="6.125" style="288" customWidth="1"/>
    <col min="3" max="3" width="11.50390625" style="288" customWidth="1"/>
    <col min="4" max="4" width="15.875" style="288" customWidth="1"/>
    <col min="5" max="5" width="11.375" style="288" customWidth="1"/>
    <col min="6" max="6" width="10.875" style="288" customWidth="1"/>
    <col min="7" max="7" width="11.00390625" style="288" customWidth="1"/>
    <col min="8" max="8" width="11.125" style="288" customWidth="1"/>
    <col min="9" max="9" width="10.625" style="288" customWidth="1"/>
    <col min="10" max="16384" width="9.125" style="288" customWidth="1"/>
  </cols>
  <sheetData>
    <row r="1" spans="1:9" ht="13.8" thickTop="1">
      <c r="A1" s="1612" t="s">
        <v>2</v>
      </c>
      <c r="B1" s="1613"/>
      <c r="C1" s="433" t="s">
        <v>82</v>
      </c>
      <c r="D1" s="431"/>
      <c r="E1" s="432"/>
      <c r="F1" s="431"/>
      <c r="G1" s="430" t="s">
        <v>81</v>
      </c>
      <c r="H1" s="429" t="s">
        <v>80</v>
      </c>
      <c r="I1" s="428"/>
    </row>
    <row r="2" spans="1:9" ht="13.8" thickBot="1">
      <c r="A2" s="1614" t="s">
        <v>79</v>
      </c>
      <c r="B2" s="1615"/>
      <c r="C2" s="427" t="s">
        <v>482</v>
      </c>
      <c r="D2" s="425"/>
      <c r="E2" s="426"/>
      <c r="F2" s="425"/>
      <c r="G2" s="1616" t="s">
        <v>77</v>
      </c>
      <c r="H2" s="1617"/>
      <c r="I2" s="1618"/>
    </row>
    <row r="3" ht="13.8" thickTop="1">
      <c r="F3" s="321"/>
    </row>
    <row r="4" spans="1:9" ht="19.5" customHeight="1">
      <c r="A4" s="424" t="s">
        <v>76</v>
      </c>
      <c r="B4" s="403"/>
      <c r="C4" s="403"/>
      <c r="D4" s="403"/>
      <c r="E4" s="423"/>
      <c r="F4" s="403"/>
      <c r="G4" s="403"/>
      <c r="H4" s="403"/>
      <c r="I4" s="403"/>
    </row>
    <row r="5" ht="13.8" thickBot="1"/>
    <row r="6" spans="1:9" s="321" customFormat="1" ht="13.8" thickBot="1">
      <c r="A6" s="422"/>
      <c r="B6" s="421" t="s">
        <v>75</v>
      </c>
      <c r="C6" s="421"/>
      <c r="D6" s="420"/>
      <c r="E6" s="419" t="s">
        <v>74</v>
      </c>
      <c r="F6" s="418" t="s">
        <v>73</v>
      </c>
      <c r="G6" s="418" t="s">
        <v>72</v>
      </c>
      <c r="H6" s="418" t="s">
        <v>71</v>
      </c>
      <c r="I6" s="417" t="s">
        <v>70</v>
      </c>
    </row>
    <row r="7" spans="1:9" s="321" customFormat="1" ht="12.75">
      <c r="A7" s="416" t="str">
        <f>'r04 1P'!B7</f>
        <v>1</v>
      </c>
      <c r="B7" s="415" t="str">
        <f>'r04 1P'!C7</f>
        <v>Zemní práce</v>
      </c>
      <c r="D7" s="414"/>
      <c r="E7" s="413">
        <f>'r04 1P'!BA32</f>
        <v>0</v>
      </c>
      <c r="F7" s="412">
        <f>'r04 1P'!BB32</f>
        <v>0</v>
      </c>
      <c r="G7" s="412">
        <f>'r04 1P'!BC32</f>
        <v>0</v>
      </c>
      <c r="H7" s="412">
        <f>'r04 1P'!BD32</f>
        <v>0</v>
      </c>
      <c r="I7" s="411">
        <f>'r04 1P'!BE32</f>
        <v>0</v>
      </c>
    </row>
    <row r="8" spans="1:9" s="74" customFormat="1" ht="12.75">
      <c r="A8" s="85" t="str">
        <f>'r04 1P'!B33</f>
        <v>11</v>
      </c>
      <c r="B8" s="35" t="str">
        <f>'r04 1P'!C33</f>
        <v>Přípravné a přidružené práce</v>
      </c>
      <c r="D8" s="84"/>
      <c r="E8" s="83">
        <f>'r04 1P'!BA42</f>
        <v>0</v>
      </c>
      <c r="F8" s="82">
        <f>'r04 1P'!BB42</f>
        <v>0</v>
      </c>
      <c r="G8" s="82">
        <f>'r04 1P'!BC42</f>
        <v>0</v>
      </c>
      <c r="H8" s="82">
        <f>'r04 1P'!BD42</f>
        <v>0</v>
      </c>
      <c r="I8" s="81">
        <f>'r04 1P'!BE42</f>
        <v>0</v>
      </c>
    </row>
    <row r="9" spans="1:9" s="74" customFormat="1" ht="12.75">
      <c r="A9" s="85" t="str">
        <f>'r04 1P'!B43</f>
        <v>2</v>
      </c>
      <c r="B9" s="35" t="str">
        <f>'r04 1P'!C43</f>
        <v>Základy a zvláštní zakládání</v>
      </c>
      <c r="D9" s="84"/>
      <c r="E9" s="83">
        <f>'r04 1P'!BA66</f>
        <v>0</v>
      </c>
      <c r="F9" s="82">
        <f>'r04 1P'!BB66</f>
        <v>0</v>
      </c>
      <c r="G9" s="82">
        <f>'r04 1P'!BC66</f>
        <v>0</v>
      </c>
      <c r="H9" s="82">
        <f>'r04 1P'!BD66</f>
        <v>0</v>
      </c>
      <c r="I9" s="81">
        <f>'r04 1P'!BE66</f>
        <v>0</v>
      </c>
    </row>
    <row r="10" spans="1:9" s="74" customFormat="1" ht="12.75">
      <c r="A10" s="85" t="str">
        <f>'r04 1P'!B67</f>
        <v>3</v>
      </c>
      <c r="B10" s="35" t="str">
        <f>'r04 1P'!C67</f>
        <v>Svislé a kompletní konstrukce</v>
      </c>
      <c r="D10" s="84"/>
      <c r="E10" s="83">
        <f>'r04 1P'!BA81</f>
        <v>0</v>
      </c>
      <c r="F10" s="82">
        <f>'r04 1P'!BB81</f>
        <v>0</v>
      </c>
      <c r="G10" s="82">
        <f>'r04 1P'!BC81</f>
        <v>0</v>
      </c>
      <c r="H10" s="82">
        <f>'r04 1P'!BD81</f>
        <v>0</v>
      </c>
      <c r="I10" s="81">
        <f>'r04 1P'!BE81</f>
        <v>0</v>
      </c>
    </row>
    <row r="11" spans="1:9" s="74" customFormat="1" ht="12.75">
      <c r="A11" s="85" t="str">
        <f>'r04 1P'!B82</f>
        <v>4</v>
      </c>
      <c r="B11" s="35" t="str">
        <f>'r04 1P'!C82</f>
        <v>Vodorovné konstrukce</v>
      </c>
      <c r="D11" s="84"/>
      <c r="E11" s="83">
        <f>'r04 1P'!BA105</f>
        <v>0</v>
      </c>
      <c r="F11" s="82">
        <f>'r04 1P'!BB105</f>
        <v>0</v>
      </c>
      <c r="G11" s="82">
        <f>'r04 1P'!BC105</f>
        <v>0</v>
      </c>
      <c r="H11" s="82">
        <f>'r04 1P'!BD105</f>
        <v>0</v>
      </c>
      <c r="I11" s="81">
        <f>'r04 1P'!BE105</f>
        <v>0</v>
      </c>
    </row>
    <row r="12" spans="1:9" s="74" customFormat="1" ht="12.75">
      <c r="A12" s="85" t="str">
        <f>'r04 1P'!B106</f>
        <v>5</v>
      </c>
      <c r="B12" s="35" t="str">
        <f>'r04 1P'!C106</f>
        <v>Komunikace</v>
      </c>
      <c r="D12" s="84"/>
      <c r="E12" s="83">
        <f>'r04 1P'!BA122</f>
        <v>0</v>
      </c>
      <c r="F12" s="82">
        <f>'r04 1P'!BB122</f>
        <v>0</v>
      </c>
      <c r="G12" s="82">
        <f>'r04 1P'!BC122</f>
        <v>0</v>
      </c>
      <c r="H12" s="82">
        <f>'r04 1P'!BD122</f>
        <v>0</v>
      </c>
      <c r="I12" s="81">
        <f>'r04 1P'!BE122</f>
        <v>0</v>
      </c>
    </row>
    <row r="13" spans="1:9" s="74" customFormat="1" ht="12.75">
      <c r="A13" s="85" t="str">
        <f>'r04 1P'!B123</f>
        <v>61</v>
      </c>
      <c r="B13" s="35" t="str">
        <f>'r04 1P'!C123</f>
        <v>Upravy povrchů vnitřní</v>
      </c>
      <c r="D13" s="84"/>
      <c r="E13" s="83">
        <f>'r04 1P'!BA131</f>
        <v>0</v>
      </c>
      <c r="F13" s="82">
        <f>'r04 1P'!BB131</f>
        <v>0</v>
      </c>
      <c r="G13" s="82">
        <f>'r04 1P'!BC131</f>
        <v>0</v>
      </c>
      <c r="H13" s="82">
        <f>'r04 1P'!BD131</f>
        <v>0</v>
      </c>
      <c r="I13" s="81">
        <f>'r04 1P'!BE131</f>
        <v>0</v>
      </c>
    </row>
    <row r="14" spans="1:9" s="74" customFormat="1" ht="12.75">
      <c r="A14" s="85" t="str">
        <f>'r04 1P'!B132</f>
        <v>62</v>
      </c>
      <c r="B14" s="35" t="str">
        <f>'r04 1P'!C132</f>
        <v>Úpravy povrchů vnější</v>
      </c>
      <c r="D14" s="84"/>
      <c r="E14" s="83">
        <f>'r04 1P'!BA146</f>
        <v>0</v>
      </c>
      <c r="F14" s="82">
        <f>'r04 1P'!BB146</f>
        <v>0</v>
      </c>
      <c r="G14" s="82">
        <f>'r04 1P'!BC146</f>
        <v>0</v>
      </c>
      <c r="H14" s="82">
        <f>'r04 1P'!BD146</f>
        <v>0</v>
      </c>
      <c r="I14" s="81">
        <f>'r04 1P'!BE146</f>
        <v>0</v>
      </c>
    </row>
    <row r="15" spans="1:9" s="74" customFormat="1" ht="12.75">
      <c r="A15" s="85" t="str">
        <f>'r04 1P'!B147</f>
        <v>63</v>
      </c>
      <c r="B15" s="35" t="str">
        <f>'r04 1P'!C147</f>
        <v>Podlahy a podlahové konstrukce</v>
      </c>
      <c r="D15" s="84"/>
      <c r="E15" s="83">
        <f>'r04 1P'!BA152</f>
        <v>0</v>
      </c>
      <c r="F15" s="82">
        <f>'r04 1P'!BB152</f>
        <v>0</v>
      </c>
      <c r="G15" s="82">
        <f>'r04 1P'!BC152</f>
        <v>0</v>
      </c>
      <c r="H15" s="82">
        <f>'r04 1P'!BD152</f>
        <v>0</v>
      </c>
      <c r="I15" s="81">
        <f>'r04 1P'!BE152</f>
        <v>0</v>
      </c>
    </row>
    <row r="16" spans="1:9" s="74" customFormat="1" ht="12.75">
      <c r="A16" s="85" t="str">
        <f>'r04 1P'!B153</f>
        <v>64</v>
      </c>
      <c r="B16" s="35" t="str">
        <f>'r04 1P'!C153</f>
        <v>Výplně otvorů</v>
      </c>
      <c r="D16" s="84"/>
      <c r="E16" s="83">
        <f>'r04 1P'!BA157</f>
        <v>0</v>
      </c>
      <c r="F16" s="82">
        <f>'r04 1P'!BB157</f>
        <v>0</v>
      </c>
      <c r="G16" s="82">
        <f>'r04 1P'!BC157</f>
        <v>0</v>
      </c>
      <c r="H16" s="82">
        <f>'r04 1P'!BD157</f>
        <v>0</v>
      </c>
      <c r="I16" s="81">
        <f>'r04 1P'!BE157</f>
        <v>0</v>
      </c>
    </row>
    <row r="17" spans="1:9" s="74" customFormat="1" ht="12.75">
      <c r="A17" s="85" t="str">
        <f>'r04 1P'!B158</f>
        <v>91</v>
      </c>
      <c r="B17" s="35" t="str">
        <f>'r04 1P'!C158</f>
        <v>Doplňující práce na komunikaci</v>
      </c>
      <c r="D17" s="84"/>
      <c r="E17" s="83">
        <f>'r04 1P'!BA163</f>
        <v>0</v>
      </c>
      <c r="F17" s="82">
        <f>'r04 1P'!BB163</f>
        <v>0</v>
      </c>
      <c r="G17" s="82">
        <f>'r04 1P'!BC163</f>
        <v>0</v>
      </c>
      <c r="H17" s="82">
        <f>'r04 1P'!BD163</f>
        <v>0</v>
      </c>
      <c r="I17" s="81">
        <f>'r04 1P'!BE163</f>
        <v>0</v>
      </c>
    </row>
    <row r="18" spans="1:9" s="74" customFormat="1" ht="12.75">
      <c r="A18" s="85" t="str">
        <f>'r04 1P'!B164</f>
        <v>94</v>
      </c>
      <c r="B18" s="35" t="str">
        <f>'r04 1P'!C164</f>
        <v>Lešení a stavební výtahy</v>
      </c>
      <c r="D18" s="84"/>
      <c r="E18" s="83">
        <f>'r04 1P'!BA168</f>
        <v>0</v>
      </c>
      <c r="F18" s="82">
        <f>'r04 1P'!BB168</f>
        <v>0</v>
      </c>
      <c r="G18" s="82">
        <f>'r04 1P'!BC168</f>
        <v>0</v>
      </c>
      <c r="H18" s="82">
        <f>'r04 1P'!BD168</f>
        <v>0</v>
      </c>
      <c r="I18" s="81">
        <f>'r04 1P'!BE168</f>
        <v>0</v>
      </c>
    </row>
    <row r="19" spans="1:9" s="74" customFormat="1" ht="12.75">
      <c r="A19" s="85" t="str">
        <f>'r04 1P'!B169</f>
        <v>95</v>
      </c>
      <c r="B19" s="35" t="str">
        <f>'r04 1P'!C169</f>
        <v>Dokončovací konstrukce na pozemních stavbách</v>
      </c>
      <c r="D19" s="84"/>
      <c r="E19" s="83">
        <f>'r04 1P'!BA172</f>
        <v>0</v>
      </c>
      <c r="F19" s="82">
        <f>'r04 1P'!BB172</f>
        <v>0</v>
      </c>
      <c r="G19" s="82">
        <f>'r04 1P'!BC172</f>
        <v>0</v>
      </c>
      <c r="H19" s="82">
        <f>'r04 1P'!BD172</f>
        <v>0</v>
      </c>
      <c r="I19" s="81">
        <f>'r04 1P'!BE172</f>
        <v>0</v>
      </c>
    </row>
    <row r="20" spans="1:9" s="74" customFormat="1" ht="12.75">
      <c r="A20" s="85" t="str">
        <f>'r04 1P'!B173</f>
        <v>99</v>
      </c>
      <c r="B20" s="35" t="str">
        <f>'r04 1P'!C173</f>
        <v>Staveništní přesun hmot</v>
      </c>
      <c r="D20" s="84"/>
      <c r="E20" s="83">
        <f>'r04 1P'!BA175</f>
        <v>0</v>
      </c>
      <c r="F20" s="82">
        <f>'r04 1P'!BB175</f>
        <v>0</v>
      </c>
      <c r="G20" s="82">
        <f>'r04 1P'!BC175</f>
        <v>0</v>
      </c>
      <c r="H20" s="82">
        <f>'r04 1P'!BD175</f>
        <v>0</v>
      </c>
      <c r="I20" s="81">
        <f>'r04 1P'!BE175</f>
        <v>0</v>
      </c>
    </row>
    <row r="21" spans="1:9" s="74" customFormat="1" ht="12.75">
      <c r="A21" s="85" t="str">
        <f>'r04 1P'!B176</f>
        <v>711</v>
      </c>
      <c r="B21" s="35" t="str">
        <f>'r04 1P'!C176</f>
        <v>Izolace proti vodě</v>
      </c>
      <c r="D21" s="84"/>
      <c r="E21" s="83">
        <f>'r04 1P'!BA214</f>
        <v>0</v>
      </c>
      <c r="F21" s="82">
        <f>'r04 1P'!BB214</f>
        <v>0</v>
      </c>
      <c r="G21" s="82">
        <f>'r04 1P'!BC214</f>
        <v>0</v>
      </c>
      <c r="H21" s="82">
        <f>'r04 1P'!BD214</f>
        <v>0</v>
      </c>
      <c r="I21" s="81">
        <f>'r04 1P'!BE214</f>
        <v>0</v>
      </c>
    </row>
    <row r="22" spans="1:9" s="74" customFormat="1" ht="12.75">
      <c r="A22" s="85" t="str">
        <f>'r04 1P'!B215</f>
        <v>713</v>
      </c>
      <c r="B22" s="35" t="str">
        <f>'r04 1P'!C215</f>
        <v>Izolace tepelné</v>
      </c>
      <c r="D22" s="84"/>
      <c r="E22" s="83">
        <f>'r04 1P'!BA233</f>
        <v>0</v>
      </c>
      <c r="F22" s="82">
        <f>'r04 1P'!BB233</f>
        <v>0</v>
      </c>
      <c r="G22" s="82">
        <f>'r04 1P'!BC233</f>
        <v>0</v>
      </c>
      <c r="H22" s="82">
        <f>'r04 1P'!BD233</f>
        <v>0</v>
      </c>
      <c r="I22" s="81">
        <f>'r04 1P'!BE233</f>
        <v>0</v>
      </c>
    </row>
    <row r="23" spans="1:9" s="74" customFormat="1" ht="12.75">
      <c r="A23" s="85" t="str">
        <f>'r04 1P'!B234</f>
        <v>722</v>
      </c>
      <c r="B23" s="35" t="str">
        <f>'r04 1P'!C234</f>
        <v>Zdravotechnika</v>
      </c>
      <c r="D23" s="84"/>
      <c r="E23" s="83">
        <f>'r04 1P'!BA237</f>
        <v>0</v>
      </c>
      <c r="F23" s="82">
        <f>'r04 1P'!BB237</f>
        <v>0</v>
      </c>
      <c r="G23" s="82">
        <f>'r04 1P'!BC237</f>
        <v>0</v>
      </c>
      <c r="H23" s="82">
        <f>'r04 1P'!BD237</f>
        <v>0</v>
      </c>
      <c r="I23" s="81">
        <f>'r04 1P'!BE237</f>
        <v>0</v>
      </c>
    </row>
    <row r="24" spans="1:9" s="74" customFormat="1" ht="12.75">
      <c r="A24" s="85" t="str">
        <f>'r04 1P'!B238</f>
        <v>725</v>
      </c>
      <c r="B24" s="35" t="str">
        <f>'r04 1P'!C238</f>
        <v>Zařizovací předměty</v>
      </c>
      <c r="D24" s="84"/>
      <c r="E24" s="83">
        <f>'r04 1P'!BA272</f>
        <v>0</v>
      </c>
      <c r="F24" s="82">
        <f>'r04 1P'!BB272</f>
        <v>0</v>
      </c>
      <c r="G24" s="82">
        <f>'r04 1P'!BC272</f>
        <v>0</v>
      </c>
      <c r="H24" s="82">
        <f>'r04 1P'!BD272</f>
        <v>0</v>
      </c>
      <c r="I24" s="81">
        <f>'r04 1P'!BE272</f>
        <v>0</v>
      </c>
    </row>
    <row r="25" spans="1:9" s="74" customFormat="1" ht="12.75">
      <c r="A25" s="85" t="str">
        <f>'r04 1P'!B273</f>
        <v>731</v>
      </c>
      <c r="B25" s="35" t="str">
        <f>'r04 1P'!C273</f>
        <v>Vytápění</v>
      </c>
      <c r="D25" s="84"/>
      <c r="E25" s="83">
        <f>'r04 1P'!BA276</f>
        <v>0</v>
      </c>
      <c r="F25" s="82">
        <f>'r04 1P'!BB276</f>
        <v>0</v>
      </c>
      <c r="G25" s="82">
        <f>'r04 1P'!BC276</f>
        <v>0</v>
      </c>
      <c r="H25" s="82">
        <f>'r04 1P'!BD276</f>
        <v>0</v>
      </c>
      <c r="I25" s="81">
        <f>'r04 1P'!BE276</f>
        <v>0</v>
      </c>
    </row>
    <row r="26" spans="1:9" s="74" customFormat="1" ht="12.75">
      <c r="A26" s="85" t="str">
        <f>'r04 1P'!B277</f>
        <v>762</v>
      </c>
      <c r="B26" s="35" t="str">
        <f>'r04 1P'!C277</f>
        <v>Konstrukce tesařské</v>
      </c>
      <c r="D26" s="84"/>
      <c r="E26" s="83">
        <f>'r04 1P'!BA326</f>
        <v>0</v>
      </c>
      <c r="F26" s="82">
        <f>'r04 1P'!BB326</f>
        <v>0</v>
      </c>
      <c r="G26" s="82">
        <f>'r04 1P'!BC326</f>
        <v>0</v>
      </c>
      <c r="H26" s="82">
        <f>'r04 1P'!BD326</f>
        <v>0</v>
      </c>
      <c r="I26" s="81">
        <f>'r04 1P'!BE326</f>
        <v>0</v>
      </c>
    </row>
    <row r="27" spans="1:9" s="74" customFormat="1" ht="12.75">
      <c r="A27" s="85" t="str">
        <f>'r04 1P'!B327</f>
        <v>763</v>
      </c>
      <c r="B27" s="35" t="str">
        <f>'r04 1P'!C327</f>
        <v>Dřevostavby</v>
      </c>
      <c r="D27" s="84"/>
      <c r="E27" s="83">
        <f>'r04 1P'!BA331</f>
        <v>0</v>
      </c>
      <c r="F27" s="82">
        <f>'r04 1P'!BB331</f>
        <v>0</v>
      </c>
      <c r="G27" s="82">
        <f>'r04 1P'!BC331</f>
        <v>0</v>
      </c>
      <c r="H27" s="82">
        <f>'r04 1P'!BD331</f>
        <v>0</v>
      </c>
      <c r="I27" s="81">
        <f>'r04 1P'!BE331</f>
        <v>0</v>
      </c>
    </row>
    <row r="28" spans="1:9" s="74" customFormat="1" ht="12.75">
      <c r="A28" s="85" t="str">
        <f>'r04 1P'!B332</f>
        <v>764</v>
      </c>
      <c r="B28" s="35" t="str">
        <f>'r04 1P'!C332</f>
        <v>Konstrukce klempířské</v>
      </c>
      <c r="D28" s="84"/>
      <c r="E28" s="83">
        <f>'r04 1P'!BA351</f>
        <v>0</v>
      </c>
      <c r="F28" s="82">
        <f>'r04 1P'!BB351</f>
        <v>0</v>
      </c>
      <c r="G28" s="82">
        <f>'r04 1P'!BC351</f>
        <v>0</v>
      </c>
      <c r="H28" s="82">
        <f>'r04 1P'!BD351</f>
        <v>0</v>
      </c>
      <c r="I28" s="81">
        <f>'r04 1P'!BE351</f>
        <v>0</v>
      </c>
    </row>
    <row r="29" spans="1:9" s="74" customFormat="1" ht="12.75">
      <c r="A29" s="85" t="str">
        <f>'r04 1P'!B352</f>
        <v>765</v>
      </c>
      <c r="B29" s="35" t="str">
        <f>'r04 1P'!C352</f>
        <v>Krytiny tvrdé</v>
      </c>
      <c r="D29" s="84"/>
      <c r="E29" s="83">
        <f>'r04 1P'!BA356</f>
        <v>0</v>
      </c>
      <c r="F29" s="82">
        <f>'r04 1P'!BB356</f>
        <v>0</v>
      </c>
      <c r="G29" s="82">
        <f>'r04 1P'!BC356</f>
        <v>0</v>
      </c>
      <c r="H29" s="82">
        <f>'r04 1P'!BD356</f>
        <v>0</v>
      </c>
      <c r="I29" s="81">
        <f>'r04 1P'!BE356</f>
        <v>0</v>
      </c>
    </row>
    <row r="30" spans="1:9" s="74" customFormat="1" ht="12.75">
      <c r="A30" s="85" t="str">
        <f>'r04 1P'!B357</f>
        <v>766</v>
      </c>
      <c r="B30" s="35" t="str">
        <f>'r04 1P'!C357</f>
        <v>Konstrukce truhlářské</v>
      </c>
      <c r="D30" s="84"/>
      <c r="E30" s="83">
        <f>'r04 1P'!BA394</f>
        <v>0</v>
      </c>
      <c r="F30" s="82">
        <f>'r04 1P'!BB394</f>
        <v>0</v>
      </c>
      <c r="G30" s="82">
        <f>'r04 1P'!BC394</f>
        <v>0</v>
      </c>
      <c r="H30" s="82">
        <f>'r04 1P'!BD394</f>
        <v>0</v>
      </c>
      <c r="I30" s="81">
        <f>'r04 1P'!BE394</f>
        <v>0</v>
      </c>
    </row>
    <row r="31" spans="1:9" s="74" customFormat="1" ht="12.75">
      <c r="A31" s="85" t="str">
        <f>'r04 1P'!B395</f>
        <v>767</v>
      </c>
      <c r="B31" s="35" t="str">
        <f>'r04 1P'!C395</f>
        <v>Konstrukce zámečnické</v>
      </c>
      <c r="D31" s="84"/>
      <c r="E31" s="83">
        <f>'r04 1P'!BA409</f>
        <v>0</v>
      </c>
      <c r="F31" s="82">
        <f>'r04 1P'!BB409</f>
        <v>0</v>
      </c>
      <c r="G31" s="82">
        <f>'r04 1P'!BC409</f>
        <v>0</v>
      </c>
      <c r="H31" s="82">
        <f>'r04 1P'!BD409</f>
        <v>0</v>
      </c>
      <c r="I31" s="81">
        <f>'r04 1P'!BE409</f>
        <v>0</v>
      </c>
    </row>
    <row r="32" spans="1:9" s="74" customFormat="1" ht="12.75">
      <c r="A32" s="85" t="str">
        <f>'r04 1P'!B410</f>
        <v>769</v>
      </c>
      <c r="B32" s="35" t="str">
        <f>'r04 1P'!C410</f>
        <v>Otvorové prvky z plastu</v>
      </c>
      <c r="D32" s="84"/>
      <c r="E32" s="83">
        <f>'r04 1P'!BA433</f>
        <v>0</v>
      </c>
      <c r="F32" s="82">
        <f>'r04 1P'!BB433</f>
        <v>0</v>
      </c>
      <c r="G32" s="82">
        <f>'r04 1P'!BC433</f>
        <v>0</v>
      </c>
      <c r="H32" s="82">
        <f>'r04 1P'!BD433</f>
        <v>0</v>
      </c>
      <c r="I32" s="81">
        <f>'r04 1P'!BE433</f>
        <v>0</v>
      </c>
    </row>
    <row r="33" spans="1:9" s="74" customFormat="1" ht="12.75">
      <c r="A33" s="85" t="str">
        <f>'r04 1P'!B434</f>
        <v>771</v>
      </c>
      <c r="B33" s="35" t="str">
        <f>'r04 1P'!C434</f>
        <v>Podlahy z dlaždic a obklady</v>
      </c>
      <c r="D33" s="84"/>
      <c r="E33" s="83">
        <f>'r04 1P'!BA467</f>
        <v>0</v>
      </c>
      <c r="F33" s="82">
        <f>'r04 1P'!BB467</f>
        <v>0</v>
      </c>
      <c r="G33" s="82">
        <f>'r04 1P'!BC467</f>
        <v>0</v>
      </c>
      <c r="H33" s="82">
        <f>'r04 1P'!BD467</f>
        <v>0</v>
      </c>
      <c r="I33" s="81">
        <f>'r04 1P'!BE467</f>
        <v>0</v>
      </c>
    </row>
    <row r="34" spans="1:9" s="74" customFormat="1" ht="12.75">
      <c r="A34" s="85" t="str">
        <f>'r04 1P'!B468</f>
        <v>781</v>
      </c>
      <c r="B34" s="35" t="str">
        <f>'r04 1P'!C468</f>
        <v>Obklady keramické</v>
      </c>
      <c r="D34" s="84"/>
      <c r="E34" s="83">
        <f>'r04 1P'!BA482</f>
        <v>0</v>
      </c>
      <c r="F34" s="82">
        <f>'r04 1P'!BB482</f>
        <v>0</v>
      </c>
      <c r="G34" s="82">
        <f>'r04 1P'!BC482</f>
        <v>0</v>
      </c>
      <c r="H34" s="82">
        <f>'r04 1P'!BD482</f>
        <v>0</v>
      </c>
      <c r="I34" s="81">
        <f>'r04 1P'!BE482</f>
        <v>0</v>
      </c>
    </row>
    <row r="35" spans="1:9" s="74" customFormat="1" ht="12.75">
      <c r="A35" s="85" t="str">
        <f>'r04 1P'!B483</f>
        <v>783</v>
      </c>
      <c r="B35" s="35" t="str">
        <f>'r04 1P'!C483</f>
        <v>Nátěry</v>
      </c>
      <c r="D35" s="84"/>
      <c r="E35" s="83">
        <f>'r04 1P'!BA488</f>
        <v>0</v>
      </c>
      <c r="F35" s="82">
        <f>'r04 1P'!BB488</f>
        <v>0</v>
      </c>
      <c r="G35" s="82">
        <f>'r04 1P'!BC488</f>
        <v>0</v>
      </c>
      <c r="H35" s="82">
        <f>'r04 1P'!BD488</f>
        <v>0</v>
      </c>
      <c r="I35" s="81">
        <f>'r04 1P'!BE488</f>
        <v>0</v>
      </c>
    </row>
    <row r="36" spans="1:9" s="74" customFormat="1" ht="12.75">
      <c r="A36" s="85" t="str">
        <f>'r04 1P'!B489</f>
        <v>784</v>
      </c>
      <c r="B36" s="35" t="str">
        <f>'r04 1P'!C489</f>
        <v>Malby</v>
      </c>
      <c r="D36" s="84"/>
      <c r="E36" s="83">
        <f>'r04 1P'!BA502</f>
        <v>0</v>
      </c>
      <c r="F36" s="82">
        <f>'r04 1P'!BB502</f>
        <v>0</v>
      </c>
      <c r="G36" s="82">
        <f>'r04 1P'!BC502</f>
        <v>0</v>
      </c>
      <c r="H36" s="82">
        <f>'r04 1P'!BD502</f>
        <v>0</v>
      </c>
      <c r="I36" s="81">
        <f>'r04 1P'!BE502</f>
        <v>0</v>
      </c>
    </row>
    <row r="37" spans="1:9" s="74" customFormat="1" ht="12.75">
      <c r="A37" s="85" t="str">
        <f>'r04 1P'!B503</f>
        <v>787</v>
      </c>
      <c r="B37" s="35" t="str">
        <f>'r04 1P'!C503</f>
        <v>Zasklívání</v>
      </c>
      <c r="D37" s="84"/>
      <c r="E37" s="83">
        <f>'r04 1P'!BA512</f>
        <v>0</v>
      </c>
      <c r="F37" s="82">
        <f>'r04 1P'!BB512</f>
        <v>0</v>
      </c>
      <c r="G37" s="82">
        <f>'r04 1P'!BC512</f>
        <v>0</v>
      </c>
      <c r="H37" s="82">
        <f>'r04 1P'!BD512</f>
        <v>0</v>
      </c>
      <c r="I37" s="81">
        <f>'r04 1P'!BE512</f>
        <v>0</v>
      </c>
    </row>
    <row r="38" spans="1:9" s="74" customFormat="1" ht="12.75">
      <c r="A38" s="85" t="str">
        <f>'r04 1P'!B513</f>
        <v>M21</v>
      </c>
      <c r="B38" s="35" t="str">
        <f>'r04 1P'!C513</f>
        <v>Elektromontáže</v>
      </c>
      <c r="D38" s="84"/>
      <c r="E38" s="83">
        <f>'r04 1P'!BA516</f>
        <v>0</v>
      </c>
      <c r="F38" s="82">
        <f>'r04 1P'!BB516</f>
        <v>0</v>
      </c>
      <c r="G38" s="82">
        <f>'r04 1P'!BC516</f>
        <v>0</v>
      </c>
      <c r="H38" s="82">
        <f>'r04 1P'!BD516</f>
        <v>0</v>
      </c>
      <c r="I38" s="81">
        <f>'r04 1P'!BE516</f>
        <v>0</v>
      </c>
    </row>
    <row r="39" spans="1:9" s="74" customFormat="1" ht="12.75">
      <c r="A39" s="85" t="str">
        <f>'r04 1P'!B517</f>
        <v>M24</v>
      </c>
      <c r="B39" s="35" t="str">
        <f>'r04 1P'!C517</f>
        <v>Montáže vzduchotechnických zařízení</v>
      </c>
      <c r="D39" s="84"/>
      <c r="E39" s="83">
        <f>'r04 1P'!BA519</f>
        <v>0</v>
      </c>
      <c r="F39" s="82">
        <f>'r04 1P'!BB519</f>
        <v>0</v>
      </c>
      <c r="G39" s="82">
        <f>'r04 1P'!BC519</f>
        <v>0</v>
      </c>
      <c r="H39" s="82">
        <f>'r04 1P'!BD519</f>
        <v>0</v>
      </c>
      <c r="I39" s="81">
        <f>'r04 1P'!BE519</f>
        <v>0</v>
      </c>
    </row>
    <row r="40" spans="1:9" s="74" customFormat="1" ht="13.8" thickBot="1">
      <c r="A40" s="85" t="str">
        <f>'r04 1P'!B520</f>
        <v>D96</v>
      </c>
      <c r="B40" s="35" t="str">
        <f>'r04 1P'!C520</f>
        <v>Přesuny suti a vybouraných hmot</v>
      </c>
      <c r="D40" s="84"/>
      <c r="E40" s="83">
        <f>'r04 1P'!BA526</f>
        <v>0</v>
      </c>
      <c r="F40" s="82">
        <f>'r04 1P'!BB526</f>
        <v>0</v>
      </c>
      <c r="G40" s="82">
        <f>'r04 1P'!BC526</f>
        <v>0</v>
      </c>
      <c r="H40" s="82">
        <f>'r04 1P'!BD526</f>
        <v>0</v>
      </c>
      <c r="I40" s="81">
        <f>'r04 1P'!BE526</f>
        <v>0</v>
      </c>
    </row>
    <row r="41" spans="1:9" s="384" customFormat="1" ht="13.8" thickBot="1">
      <c r="A41" s="410"/>
      <c r="B41" s="409" t="s">
        <v>69</v>
      </c>
      <c r="C41" s="409"/>
      <c r="D41" s="408"/>
      <c r="E41" s="407">
        <f>SUM(E7:E40)</f>
        <v>0</v>
      </c>
      <c r="F41" s="406">
        <f>SUM(F7:F40)</f>
        <v>0</v>
      </c>
      <c r="G41" s="406">
        <f>SUM(G7:G40)</f>
        <v>0</v>
      </c>
      <c r="H41" s="406">
        <f>SUM(H7:H40)</f>
        <v>0</v>
      </c>
      <c r="I41" s="405">
        <f>SUM(I7:I40)</f>
        <v>0</v>
      </c>
    </row>
    <row r="42" spans="1:9" ht="12.75">
      <c r="A42" s="321"/>
      <c r="B42" s="321"/>
      <c r="C42" s="321"/>
      <c r="D42" s="321"/>
      <c r="E42" s="321"/>
      <c r="F42" s="321"/>
      <c r="G42" s="321"/>
      <c r="H42" s="321"/>
      <c r="I42" s="321"/>
    </row>
    <row r="43" spans="1:57" ht="19.5" customHeight="1">
      <c r="A43" s="403" t="s">
        <v>68</v>
      </c>
      <c r="B43" s="403"/>
      <c r="C43" s="403"/>
      <c r="D43" s="403"/>
      <c r="E43" s="403"/>
      <c r="F43" s="403"/>
      <c r="G43" s="404"/>
      <c r="H43" s="403"/>
      <c r="I43" s="403"/>
      <c r="BA43" s="327"/>
      <c r="BB43" s="327"/>
      <c r="BC43" s="327"/>
      <c r="BD43" s="327"/>
      <c r="BE43" s="327"/>
    </row>
    <row r="44" ht="13.8" thickBot="1"/>
    <row r="45" spans="1:9" ht="12.75">
      <c r="A45" s="356" t="s">
        <v>67</v>
      </c>
      <c r="B45" s="357"/>
      <c r="C45" s="357"/>
      <c r="D45" s="402"/>
      <c r="E45" s="401" t="s">
        <v>65</v>
      </c>
      <c r="F45" s="400" t="s">
        <v>9</v>
      </c>
      <c r="G45" s="399" t="s">
        <v>66</v>
      </c>
      <c r="H45" s="398"/>
      <c r="I45" s="397" t="s">
        <v>65</v>
      </c>
    </row>
    <row r="46" spans="1:53" ht="12.75">
      <c r="A46" s="350" t="s">
        <v>64</v>
      </c>
      <c r="B46" s="341"/>
      <c r="C46" s="341"/>
      <c r="D46" s="396"/>
      <c r="E46" s="395">
        <v>0</v>
      </c>
      <c r="F46" s="394">
        <v>0</v>
      </c>
      <c r="G46" s="393">
        <v>0</v>
      </c>
      <c r="H46" s="392"/>
      <c r="I46" s="391">
        <f aca="true" t="shared" si="0" ref="I46:I53">E46+F46*G46/100</f>
        <v>0</v>
      </c>
      <c r="BA46" s="288">
        <v>0</v>
      </c>
    </row>
    <row r="47" spans="1:53" ht="12.75">
      <c r="A47" s="350" t="s">
        <v>63</v>
      </c>
      <c r="B47" s="341"/>
      <c r="C47" s="341"/>
      <c r="D47" s="396"/>
      <c r="E47" s="395">
        <v>0</v>
      </c>
      <c r="F47" s="394">
        <v>0</v>
      </c>
      <c r="G47" s="393">
        <v>0</v>
      </c>
      <c r="H47" s="392"/>
      <c r="I47" s="391">
        <f t="shared" si="0"/>
        <v>0</v>
      </c>
      <c r="BA47" s="288">
        <v>0</v>
      </c>
    </row>
    <row r="48" spans="1:53" ht="12.75">
      <c r="A48" s="350" t="s">
        <v>62</v>
      </c>
      <c r="B48" s="341"/>
      <c r="C48" s="341"/>
      <c r="D48" s="396"/>
      <c r="E48" s="395">
        <v>0</v>
      </c>
      <c r="F48" s="394">
        <v>0</v>
      </c>
      <c r="G48" s="393">
        <v>0</v>
      </c>
      <c r="H48" s="392"/>
      <c r="I48" s="391">
        <f t="shared" si="0"/>
        <v>0</v>
      </c>
      <c r="BA48" s="288">
        <v>0</v>
      </c>
    </row>
    <row r="49" spans="1:53" ht="12.75">
      <c r="A49" s="350" t="s">
        <v>61</v>
      </c>
      <c r="B49" s="341"/>
      <c r="C49" s="341"/>
      <c r="D49" s="396"/>
      <c r="E49" s="395">
        <v>0</v>
      </c>
      <c r="F49" s="394">
        <v>0</v>
      </c>
      <c r="G49" s="393">
        <v>0</v>
      </c>
      <c r="H49" s="392"/>
      <c r="I49" s="391">
        <f t="shared" si="0"/>
        <v>0</v>
      </c>
      <c r="BA49" s="288">
        <v>0</v>
      </c>
    </row>
    <row r="50" spans="1:53" ht="12.75">
      <c r="A50" s="350" t="s">
        <v>60</v>
      </c>
      <c r="B50" s="341"/>
      <c r="C50" s="341"/>
      <c r="D50" s="396"/>
      <c r="E50" s="395">
        <v>0</v>
      </c>
      <c r="F50" s="394">
        <v>3</v>
      </c>
      <c r="G50" s="393">
        <v>0</v>
      </c>
      <c r="H50" s="392"/>
      <c r="I50" s="391">
        <f t="shared" si="0"/>
        <v>0</v>
      </c>
      <c r="BA50" s="288">
        <v>1</v>
      </c>
    </row>
    <row r="51" spans="1:53" ht="12.75">
      <c r="A51" s="350" t="s">
        <v>59</v>
      </c>
      <c r="B51" s="341"/>
      <c r="C51" s="341"/>
      <c r="D51" s="396"/>
      <c r="E51" s="395">
        <v>0</v>
      </c>
      <c r="F51" s="394">
        <v>0</v>
      </c>
      <c r="G51" s="393">
        <v>0</v>
      </c>
      <c r="H51" s="392"/>
      <c r="I51" s="391">
        <f t="shared" si="0"/>
        <v>0</v>
      </c>
      <c r="BA51" s="288">
        <v>1</v>
      </c>
    </row>
    <row r="52" spans="1:53" ht="12.75">
      <c r="A52" s="350" t="s">
        <v>58</v>
      </c>
      <c r="B52" s="341"/>
      <c r="C52" s="341"/>
      <c r="D52" s="396"/>
      <c r="E52" s="395">
        <v>0</v>
      </c>
      <c r="F52" s="394">
        <v>1.2</v>
      </c>
      <c r="G52" s="393">
        <v>0</v>
      </c>
      <c r="H52" s="392"/>
      <c r="I52" s="391">
        <f t="shared" si="0"/>
        <v>0</v>
      </c>
      <c r="BA52" s="288">
        <v>2</v>
      </c>
    </row>
    <row r="53" spans="1:53" ht="12.75">
      <c r="A53" s="350" t="s">
        <v>41</v>
      </c>
      <c r="B53" s="341"/>
      <c r="C53" s="341"/>
      <c r="D53" s="396"/>
      <c r="E53" s="395">
        <v>0</v>
      </c>
      <c r="F53" s="394">
        <v>0</v>
      </c>
      <c r="G53" s="393">
        <v>0</v>
      </c>
      <c r="H53" s="392"/>
      <c r="I53" s="391">
        <f t="shared" si="0"/>
        <v>0</v>
      </c>
      <c r="BA53" s="288">
        <v>2</v>
      </c>
    </row>
    <row r="54" spans="1:9" ht="13.8" thickBot="1">
      <c r="A54" s="390"/>
      <c r="B54" s="389" t="s">
        <v>57</v>
      </c>
      <c r="C54" s="388"/>
      <c r="D54" s="387"/>
      <c r="E54" s="386"/>
      <c r="F54" s="385"/>
      <c r="G54" s="385"/>
      <c r="H54" s="1619">
        <f>SUM(I46:I53)</f>
        <v>0</v>
      </c>
      <c r="I54" s="1620"/>
    </row>
    <row r="56" spans="2:9" ht="12.75">
      <c r="B56" s="384"/>
      <c r="F56" s="383"/>
      <c r="G56" s="382"/>
      <c r="H56" s="382"/>
      <c r="I56" s="381"/>
    </row>
    <row r="57" spans="6:9" ht="12.75">
      <c r="F57" s="383"/>
      <c r="G57" s="382"/>
      <c r="H57" s="382"/>
      <c r="I57" s="381"/>
    </row>
    <row r="58" spans="6:9" ht="12.75">
      <c r="F58" s="383"/>
      <c r="G58" s="382"/>
      <c r="H58" s="382"/>
      <c r="I58" s="381"/>
    </row>
    <row r="59" spans="6:9" ht="12.75">
      <c r="F59" s="383"/>
      <c r="G59" s="382"/>
      <c r="H59" s="382"/>
      <c r="I59" s="381"/>
    </row>
    <row r="60" spans="6:9" ht="12.75">
      <c r="F60" s="383"/>
      <c r="G60" s="382"/>
      <c r="H60" s="382"/>
      <c r="I60" s="381"/>
    </row>
    <row r="61" spans="6:9" ht="12.75">
      <c r="F61" s="383"/>
      <c r="G61" s="382"/>
      <c r="H61" s="382"/>
      <c r="I61" s="381"/>
    </row>
    <row r="62" spans="6:9" ht="12.75">
      <c r="F62" s="383"/>
      <c r="G62" s="382"/>
      <c r="H62" s="382"/>
      <c r="I62" s="381"/>
    </row>
    <row r="63" spans="6:9" ht="12.75">
      <c r="F63" s="383"/>
      <c r="G63" s="382"/>
      <c r="H63" s="382"/>
      <c r="I63" s="381"/>
    </row>
    <row r="64" spans="6:9" ht="12.75">
      <c r="F64" s="383"/>
      <c r="G64" s="382"/>
      <c r="H64" s="382"/>
      <c r="I64" s="381"/>
    </row>
    <row r="65" spans="6:9" ht="12.75">
      <c r="F65" s="383"/>
      <c r="G65" s="382"/>
      <c r="H65" s="382"/>
      <c r="I65" s="381"/>
    </row>
    <row r="66" spans="6:9" ht="12.75">
      <c r="F66" s="383"/>
      <c r="G66" s="382"/>
      <c r="H66" s="382"/>
      <c r="I66" s="381"/>
    </row>
    <row r="67" spans="6:9" ht="12.75">
      <c r="F67" s="383"/>
      <c r="G67" s="382"/>
      <c r="H67" s="382"/>
      <c r="I67" s="381"/>
    </row>
    <row r="68" spans="6:9" ht="12.75">
      <c r="F68" s="383"/>
      <c r="G68" s="382"/>
      <c r="H68" s="382"/>
      <c r="I68" s="381"/>
    </row>
    <row r="69" spans="6:9" ht="12.75">
      <c r="F69" s="383"/>
      <c r="G69" s="382"/>
      <c r="H69" s="382"/>
      <c r="I69" s="381"/>
    </row>
    <row r="70" spans="6:9" ht="12.75">
      <c r="F70" s="383"/>
      <c r="G70" s="382"/>
      <c r="H70" s="382"/>
      <c r="I70" s="381"/>
    </row>
    <row r="71" spans="6:9" ht="12.75">
      <c r="F71" s="383"/>
      <c r="G71" s="382"/>
      <c r="H71" s="382"/>
      <c r="I71" s="381"/>
    </row>
    <row r="72" spans="6:9" ht="12.75">
      <c r="F72" s="383"/>
      <c r="G72" s="382"/>
      <c r="H72" s="382"/>
      <c r="I72" s="381"/>
    </row>
    <row r="73" spans="6:9" ht="12.75">
      <c r="F73" s="383"/>
      <c r="G73" s="382"/>
      <c r="H73" s="382"/>
      <c r="I73" s="381"/>
    </row>
    <row r="74" spans="6:9" ht="12.75">
      <c r="F74" s="383"/>
      <c r="G74" s="382"/>
      <c r="H74" s="382"/>
      <c r="I74" s="381"/>
    </row>
    <row r="75" spans="6:9" ht="12.75">
      <c r="F75" s="383"/>
      <c r="G75" s="382"/>
      <c r="H75" s="382"/>
      <c r="I75" s="381"/>
    </row>
    <row r="76" spans="6:9" ht="12.75">
      <c r="F76" s="383"/>
      <c r="G76" s="382"/>
      <c r="H76" s="382"/>
      <c r="I76" s="381"/>
    </row>
    <row r="77" spans="6:9" ht="12.75">
      <c r="F77" s="383"/>
      <c r="G77" s="382"/>
      <c r="H77" s="382"/>
      <c r="I77" s="381"/>
    </row>
    <row r="78" spans="6:9" ht="12.75">
      <c r="F78" s="383"/>
      <c r="G78" s="382"/>
      <c r="H78" s="382"/>
      <c r="I78" s="381"/>
    </row>
    <row r="79" spans="6:9" ht="12.75">
      <c r="F79" s="383"/>
      <c r="G79" s="382"/>
      <c r="H79" s="382"/>
      <c r="I79" s="381"/>
    </row>
    <row r="80" spans="6:9" ht="12.75">
      <c r="F80" s="383"/>
      <c r="G80" s="382"/>
      <c r="H80" s="382"/>
      <c r="I80" s="381"/>
    </row>
    <row r="81" spans="6:9" ht="12.75">
      <c r="F81" s="383"/>
      <c r="G81" s="382"/>
      <c r="H81" s="382"/>
      <c r="I81" s="381"/>
    </row>
    <row r="82" spans="6:9" ht="12.75">
      <c r="F82" s="383"/>
      <c r="G82" s="382"/>
      <c r="H82" s="382"/>
      <c r="I82" s="381"/>
    </row>
    <row r="83" spans="6:9" ht="12.75">
      <c r="F83" s="383"/>
      <c r="G83" s="382"/>
      <c r="H83" s="382"/>
      <c r="I83" s="381"/>
    </row>
    <row r="84" spans="6:9" ht="12.75">
      <c r="F84" s="383"/>
      <c r="G84" s="382"/>
      <c r="H84" s="382"/>
      <c r="I84" s="381"/>
    </row>
    <row r="85" spans="6:9" ht="12.75">
      <c r="F85" s="383"/>
      <c r="G85" s="382"/>
      <c r="H85" s="382"/>
      <c r="I85" s="381"/>
    </row>
    <row r="86" spans="6:9" ht="12.75">
      <c r="F86" s="383"/>
      <c r="G86" s="382"/>
      <c r="H86" s="382"/>
      <c r="I86" s="381"/>
    </row>
    <row r="87" spans="6:9" ht="12.75">
      <c r="F87" s="383"/>
      <c r="G87" s="382"/>
      <c r="H87" s="382"/>
      <c r="I87" s="381"/>
    </row>
    <row r="88" spans="6:9" ht="12.75">
      <c r="F88" s="383"/>
      <c r="G88" s="382"/>
      <c r="H88" s="382"/>
      <c r="I88" s="381"/>
    </row>
    <row r="89" spans="6:9" ht="12.75">
      <c r="F89" s="383"/>
      <c r="G89" s="382"/>
      <c r="H89" s="382"/>
      <c r="I89" s="381"/>
    </row>
    <row r="90" spans="6:9" ht="12.75">
      <c r="F90" s="383"/>
      <c r="G90" s="382"/>
      <c r="H90" s="382"/>
      <c r="I90" s="381"/>
    </row>
    <row r="91" spans="6:9" ht="12.75">
      <c r="F91" s="383"/>
      <c r="G91" s="382"/>
      <c r="H91" s="382"/>
      <c r="I91" s="381"/>
    </row>
    <row r="92" spans="6:9" ht="12.75">
      <c r="F92" s="383"/>
      <c r="G92" s="382"/>
      <c r="H92" s="382"/>
      <c r="I92" s="381"/>
    </row>
    <row r="93" spans="6:9" ht="12.75">
      <c r="F93" s="383"/>
      <c r="G93" s="382"/>
      <c r="H93" s="382"/>
      <c r="I93" s="381"/>
    </row>
    <row r="94" spans="6:9" ht="12.75">
      <c r="F94" s="383"/>
      <c r="G94" s="382"/>
      <c r="H94" s="382"/>
      <c r="I94" s="381"/>
    </row>
    <row r="95" spans="6:9" ht="12.75">
      <c r="F95" s="383"/>
      <c r="G95" s="382"/>
      <c r="H95" s="382"/>
      <c r="I95" s="381"/>
    </row>
    <row r="96" spans="6:9" ht="12.75">
      <c r="F96" s="383"/>
      <c r="G96" s="382"/>
      <c r="H96" s="382"/>
      <c r="I96" s="381"/>
    </row>
    <row r="97" spans="6:9" ht="12.75">
      <c r="F97" s="383"/>
      <c r="G97" s="382"/>
      <c r="H97" s="382"/>
      <c r="I97" s="381"/>
    </row>
    <row r="98" spans="6:9" ht="12.75">
      <c r="F98" s="383"/>
      <c r="G98" s="382"/>
      <c r="H98" s="382"/>
      <c r="I98" s="381"/>
    </row>
    <row r="99" spans="6:9" ht="12.75">
      <c r="F99" s="383"/>
      <c r="G99" s="382"/>
      <c r="H99" s="382"/>
      <c r="I99" s="381"/>
    </row>
    <row r="100" spans="6:9" ht="12.75">
      <c r="F100" s="383"/>
      <c r="G100" s="382"/>
      <c r="H100" s="382"/>
      <c r="I100" s="381"/>
    </row>
    <row r="101" spans="6:9" ht="12.75">
      <c r="F101" s="383"/>
      <c r="G101" s="382"/>
      <c r="H101" s="382"/>
      <c r="I101" s="381"/>
    </row>
    <row r="102" spans="6:9" ht="12.75">
      <c r="F102" s="383"/>
      <c r="G102" s="382"/>
      <c r="H102" s="382"/>
      <c r="I102" s="381"/>
    </row>
    <row r="103" spans="6:9" ht="12.75">
      <c r="F103" s="383"/>
      <c r="G103" s="382"/>
      <c r="H103" s="382"/>
      <c r="I103" s="381"/>
    </row>
    <row r="104" spans="6:9" ht="12.75">
      <c r="F104" s="383"/>
      <c r="G104" s="382"/>
      <c r="H104" s="382"/>
      <c r="I104" s="381"/>
    </row>
    <row r="105" spans="6:9" ht="12.75">
      <c r="F105" s="383"/>
      <c r="G105" s="382"/>
      <c r="H105" s="382"/>
      <c r="I105" s="381"/>
    </row>
  </sheetData>
  <mergeCells count="4">
    <mergeCell ref="A1:B1"/>
    <mergeCell ref="A2:B2"/>
    <mergeCell ref="G2:I2"/>
    <mergeCell ref="H54:I5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CB599"/>
  <sheetViews>
    <sheetView showGridLines="0" showZeros="0" tabSelected="1" zoomScaleSheetLayoutView="100" workbookViewId="0" topLeftCell="A508">
      <selection activeCell="J519" sqref="J519"/>
    </sheetView>
  </sheetViews>
  <sheetFormatPr defaultColWidth="9.125" defaultRowHeight="12.75"/>
  <cols>
    <col min="1" max="1" width="4.50390625" style="434" customWidth="1"/>
    <col min="2" max="2" width="11.50390625" style="434" customWidth="1"/>
    <col min="3" max="3" width="40.50390625" style="434" customWidth="1"/>
    <col min="4" max="4" width="5.50390625" style="434" customWidth="1"/>
    <col min="5" max="5" width="8.50390625" style="435" customWidth="1"/>
    <col min="6" max="6" width="9.875" style="434" customWidth="1"/>
    <col min="7" max="7" width="13.875" style="434" customWidth="1"/>
    <col min="8" max="8" width="11.625" style="434" hidden="1" customWidth="1"/>
    <col min="9" max="9" width="11.50390625" style="434" hidden="1" customWidth="1"/>
    <col min="10" max="10" width="11.00390625" style="434" customWidth="1"/>
    <col min="11" max="11" width="10.50390625" style="434" customWidth="1"/>
    <col min="12" max="12" width="75.50390625" style="434" customWidth="1"/>
    <col min="13" max="13" width="45.375" style="434" customWidth="1"/>
    <col min="14" max="16384" width="9.125" style="434" customWidth="1"/>
  </cols>
  <sheetData>
    <row r="1" spans="1:7" ht="15.6">
      <c r="A1" s="1622" t="s">
        <v>127</v>
      </c>
      <c r="B1" s="1622"/>
      <c r="C1" s="1622"/>
      <c r="D1" s="1622"/>
      <c r="E1" s="1622"/>
      <c r="F1" s="1622"/>
      <c r="G1" s="1622"/>
    </row>
    <row r="2" spans="2:7" ht="14.25" customHeight="1" thickBot="1">
      <c r="B2" s="493"/>
      <c r="C2" s="491"/>
      <c r="D2" s="491"/>
      <c r="E2" s="492"/>
      <c r="F2" s="491"/>
      <c r="G2" s="491"/>
    </row>
    <row r="3" spans="1:7" ht="13.8" thickTop="1">
      <c r="A3" s="1612" t="s">
        <v>2</v>
      </c>
      <c r="B3" s="1613"/>
      <c r="C3" s="433" t="s">
        <v>82</v>
      </c>
      <c r="D3" s="490"/>
      <c r="E3" s="489" t="s">
        <v>128</v>
      </c>
      <c r="F3" s="488" t="str">
        <f>'r04 1R'!H1</f>
        <v/>
      </c>
      <c r="G3" s="487"/>
    </row>
    <row r="4" spans="1:7" ht="13.8" thickBot="1">
      <c r="A4" s="1623" t="s">
        <v>79</v>
      </c>
      <c r="B4" s="1615"/>
      <c r="C4" s="427" t="s">
        <v>482</v>
      </c>
      <c r="D4" s="486"/>
      <c r="E4" s="1624" t="str">
        <f>'r04 1R'!G2</f>
        <v>aktualizovaný</v>
      </c>
      <c r="F4" s="1625"/>
      <c r="G4" s="1626"/>
    </row>
    <row r="5" spans="1:7" ht="13.8" thickTop="1">
      <c r="A5" s="485"/>
      <c r="G5" s="484"/>
    </row>
    <row r="6" spans="1:12" ht="27" customHeight="1">
      <c r="A6" s="483" t="s">
        <v>129</v>
      </c>
      <c r="B6" s="481" t="s">
        <v>130</v>
      </c>
      <c r="C6" s="481" t="s">
        <v>131</v>
      </c>
      <c r="D6" s="481" t="s">
        <v>132</v>
      </c>
      <c r="E6" s="482" t="s">
        <v>133</v>
      </c>
      <c r="F6" s="481" t="s">
        <v>134</v>
      </c>
      <c r="G6" s="480" t="s">
        <v>135</v>
      </c>
      <c r="H6" s="479" t="s">
        <v>136</v>
      </c>
      <c r="I6" s="479" t="s">
        <v>137</v>
      </c>
      <c r="J6" s="566"/>
      <c r="K6" s="567"/>
      <c r="L6" s="436"/>
    </row>
    <row r="7" spans="1:15" ht="12.75">
      <c r="A7" s="471" t="s">
        <v>140</v>
      </c>
      <c r="B7" s="470" t="s">
        <v>141</v>
      </c>
      <c r="C7" s="469" t="s">
        <v>142</v>
      </c>
      <c r="D7" s="468"/>
      <c r="E7" s="467"/>
      <c r="F7" s="467"/>
      <c r="G7" s="466"/>
      <c r="H7" s="465"/>
      <c r="I7" s="464"/>
      <c r="J7" s="568"/>
      <c r="K7" s="569"/>
      <c r="L7" s="436"/>
      <c r="O7" s="444">
        <v>1</v>
      </c>
    </row>
    <row r="8" spans="1:80" ht="12.75">
      <c r="A8" s="461">
        <v>1</v>
      </c>
      <c r="B8" s="460" t="s">
        <v>483</v>
      </c>
      <c r="C8" s="459" t="s">
        <v>484</v>
      </c>
      <c r="D8" s="458" t="s">
        <v>154</v>
      </c>
      <c r="E8" s="457">
        <v>24.96</v>
      </c>
      <c r="F8" s="457">
        <v>0</v>
      </c>
      <c r="G8" s="456">
        <f>E8*F8</f>
        <v>0</v>
      </c>
      <c r="H8" s="455">
        <v>0</v>
      </c>
      <c r="I8" s="454">
        <f>E8*H8</f>
        <v>0</v>
      </c>
      <c r="J8" s="570">
        <v>0</v>
      </c>
      <c r="K8" s="571">
        <f>E8*J8</f>
        <v>0</v>
      </c>
      <c r="L8" s="436"/>
      <c r="O8" s="444">
        <v>2</v>
      </c>
      <c r="AA8" s="434">
        <v>1</v>
      </c>
      <c r="AB8" s="434">
        <v>1</v>
      </c>
      <c r="AC8" s="434">
        <v>1</v>
      </c>
      <c r="AZ8" s="434">
        <v>1</v>
      </c>
      <c r="BA8" s="434">
        <f>IF(AZ8=1,G8,0)</f>
        <v>0</v>
      </c>
      <c r="BB8" s="434">
        <f>IF(AZ8=2,G8,0)</f>
        <v>0</v>
      </c>
      <c r="BC8" s="434">
        <f>IF(AZ8=3,G8,0)</f>
        <v>0</v>
      </c>
      <c r="BD8" s="434">
        <f>IF(AZ8=4,G8,0)</f>
        <v>0</v>
      </c>
      <c r="BE8" s="434">
        <f>IF(AZ8=5,G8,0)</f>
        <v>0</v>
      </c>
      <c r="CA8" s="444">
        <v>1</v>
      </c>
      <c r="CB8" s="444">
        <v>1</v>
      </c>
    </row>
    <row r="9" spans="1:15" ht="12.75">
      <c r="A9" s="478"/>
      <c r="B9" s="477"/>
      <c r="C9" s="1621" t="s">
        <v>485</v>
      </c>
      <c r="D9" s="1589"/>
      <c r="E9" s="476">
        <v>24.96</v>
      </c>
      <c r="F9" s="475"/>
      <c r="G9" s="230"/>
      <c r="H9" s="474"/>
      <c r="I9" s="473"/>
      <c r="J9" s="569"/>
      <c r="K9" s="572"/>
      <c r="L9" s="436"/>
      <c r="M9" s="472" t="s">
        <v>485</v>
      </c>
      <c r="O9" s="444"/>
    </row>
    <row r="10" spans="1:80" ht="12.75">
      <c r="A10" s="461">
        <v>2</v>
      </c>
      <c r="B10" s="460" t="s">
        <v>486</v>
      </c>
      <c r="C10" s="459" t="s">
        <v>487</v>
      </c>
      <c r="D10" s="458" t="s">
        <v>154</v>
      </c>
      <c r="E10" s="457">
        <v>8.32</v>
      </c>
      <c r="F10" s="457">
        <v>0</v>
      </c>
      <c r="G10" s="456">
        <f>E10*F10</f>
        <v>0</v>
      </c>
      <c r="H10" s="455">
        <v>0</v>
      </c>
      <c r="I10" s="454">
        <f>E10*H10</f>
        <v>0</v>
      </c>
      <c r="J10" s="570">
        <v>0</v>
      </c>
      <c r="K10" s="571">
        <f>E10*J10</f>
        <v>0</v>
      </c>
      <c r="L10" s="436"/>
      <c r="O10" s="444">
        <v>2</v>
      </c>
      <c r="AA10" s="434">
        <v>1</v>
      </c>
      <c r="AB10" s="434">
        <v>1</v>
      </c>
      <c r="AC10" s="434">
        <v>1</v>
      </c>
      <c r="AZ10" s="434">
        <v>1</v>
      </c>
      <c r="BA10" s="434">
        <f>IF(AZ10=1,G10,0)</f>
        <v>0</v>
      </c>
      <c r="BB10" s="434">
        <f>IF(AZ10=2,G10,0)</f>
        <v>0</v>
      </c>
      <c r="BC10" s="434">
        <f>IF(AZ10=3,G10,0)</f>
        <v>0</v>
      </c>
      <c r="BD10" s="434">
        <f>IF(AZ10=4,G10,0)</f>
        <v>0</v>
      </c>
      <c r="BE10" s="434">
        <f>IF(AZ10=5,G10,0)</f>
        <v>0</v>
      </c>
      <c r="CA10" s="444">
        <v>1</v>
      </c>
      <c r="CB10" s="444">
        <v>1</v>
      </c>
    </row>
    <row r="11" spans="1:80" ht="12.75">
      <c r="A11" s="461">
        <v>3</v>
      </c>
      <c r="B11" s="460" t="s">
        <v>156</v>
      </c>
      <c r="C11" s="459" t="s">
        <v>157</v>
      </c>
      <c r="D11" s="458" t="s">
        <v>154</v>
      </c>
      <c r="E11" s="457">
        <v>21.42</v>
      </c>
      <c r="F11" s="457">
        <v>0</v>
      </c>
      <c r="G11" s="456">
        <f>E11*F11</f>
        <v>0</v>
      </c>
      <c r="H11" s="455">
        <v>0</v>
      </c>
      <c r="I11" s="454">
        <f>E11*H11</f>
        <v>0</v>
      </c>
      <c r="J11" s="570">
        <v>0</v>
      </c>
      <c r="K11" s="571">
        <f>E11*J11</f>
        <v>0</v>
      </c>
      <c r="L11" s="436"/>
      <c r="O11" s="444">
        <v>2</v>
      </c>
      <c r="AA11" s="434">
        <v>1</v>
      </c>
      <c r="AB11" s="434">
        <v>0</v>
      </c>
      <c r="AC11" s="434">
        <v>0</v>
      </c>
      <c r="AZ11" s="434">
        <v>1</v>
      </c>
      <c r="BA11" s="434">
        <f>IF(AZ11=1,G11,0)</f>
        <v>0</v>
      </c>
      <c r="BB11" s="434">
        <f>IF(AZ11=2,G11,0)</f>
        <v>0</v>
      </c>
      <c r="BC11" s="434">
        <f>IF(AZ11=3,G11,0)</f>
        <v>0</v>
      </c>
      <c r="BD11" s="434">
        <f>IF(AZ11=4,G11,0)</f>
        <v>0</v>
      </c>
      <c r="BE11" s="434">
        <f>IF(AZ11=5,G11,0)</f>
        <v>0</v>
      </c>
      <c r="CA11" s="444">
        <v>1</v>
      </c>
      <c r="CB11" s="444">
        <v>0</v>
      </c>
    </row>
    <row r="12" spans="1:15" ht="12.75">
      <c r="A12" s="478"/>
      <c r="B12" s="573"/>
      <c r="C12" s="1627"/>
      <c r="D12" s="1596"/>
      <c r="E12" s="1596"/>
      <c r="F12" s="1596"/>
      <c r="G12" s="1597"/>
      <c r="I12" s="473"/>
      <c r="J12" s="574"/>
      <c r="K12" s="572"/>
      <c r="L12" s="575"/>
      <c r="O12" s="444">
        <v>3</v>
      </c>
    </row>
    <row r="13" spans="1:15" ht="12.75">
      <c r="A13" s="478"/>
      <c r="B13" s="477"/>
      <c r="C13" s="1621" t="s">
        <v>488</v>
      </c>
      <c r="D13" s="1589"/>
      <c r="E13" s="476">
        <v>15.54</v>
      </c>
      <c r="F13" s="475"/>
      <c r="G13" s="230"/>
      <c r="H13" s="474"/>
      <c r="I13" s="473"/>
      <c r="J13" s="569"/>
      <c r="K13" s="572"/>
      <c r="L13" s="436"/>
      <c r="M13" s="472" t="s">
        <v>488</v>
      </c>
      <c r="O13" s="444"/>
    </row>
    <row r="14" spans="1:15" ht="12.75">
      <c r="A14" s="478"/>
      <c r="B14" s="477"/>
      <c r="C14" s="1621" t="s">
        <v>489</v>
      </c>
      <c r="D14" s="1589"/>
      <c r="E14" s="476">
        <v>5.88</v>
      </c>
      <c r="F14" s="475"/>
      <c r="G14" s="230"/>
      <c r="H14" s="474"/>
      <c r="I14" s="473"/>
      <c r="J14" s="569"/>
      <c r="K14" s="572"/>
      <c r="L14" s="436"/>
      <c r="M14" s="472" t="s">
        <v>489</v>
      </c>
      <c r="O14" s="444"/>
    </row>
    <row r="15" spans="1:80" ht="12.75">
      <c r="A15" s="461">
        <v>4</v>
      </c>
      <c r="B15" s="460" t="s">
        <v>490</v>
      </c>
      <c r="C15" s="459" t="s">
        <v>491</v>
      </c>
      <c r="D15" s="458" t="s">
        <v>154</v>
      </c>
      <c r="E15" s="457">
        <v>21.42</v>
      </c>
      <c r="F15" s="457">
        <v>0</v>
      </c>
      <c r="G15" s="456">
        <f>E15*F15</f>
        <v>0</v>
      </c>
      <c r="H15" s="455">
        <v>0</v>
      </c>
      <c r="I15" s="454">
        <f>E15*H15</f>
        <v>0</v>
      </c>
      <c r="J15" s="570">
        <v>0</v>
      </c>
      <c r="K15" s="571">
        <f>E15*J15</f>
        <v>0</v>
      </c>
      <c r="L15" s="436"/>
      <c r="O15" s="444">
        <v>2</v>
      </c>
      <c r="AA15" s="434">
        <v>1</v>
      </c>
      <c r="AB15" s="434">
        <v>1</v>
      </c>
      <c r="AC15" s="434">
        <v>1</v>
      </c>
      <c r="AZ15" s="434">
        <v>1</v>
      </c>
      <c r="BA15" s="434">
        <f>IF(AZ15=1,G15,0)</f>
        <v>0</v>
      </c>
      <c r="BB15" s="434">
        <f>IF(AZ15=2,G15,0)</f>
        <v>0</v>
      </c>
      <c r="BC15" s="434">
        <f>IF(AZ15=3,G15,0)</f>
        <v>0</v>
      </c>
      <c r="BD15" s="434">
        <f>IF(AZ15=4,G15,0)</f>
        <v>0</v>
      </c>
      <c r="BE15" s="434">
        <f>IF(AZ15=5,G15,0)</f>
        <v>0</v>
      </c>
      <c r="CA15" s="444">
        <v>1</v>
      </c>
      <c r="CB15" s="444">
        <v>1</v>
      </c>
    </row>
    <row r="16" spans="1:15" ht="12.75">
      <c r="A16" s="478"/>
      <c r="B16" s="477"/>
      <c r="C16" s="1621" t="s">
        <v>488</v>
      </c>
      <c r="D16" s="1589"/>
      <c r="E16" s="476">
        <v>15.54</v>
      </c>
      <c r="F16" s="475"/>
      <c r="G16" s="230"/>
      <c r="H16" s="474"/>
      <c r="I16" s="473"/>
      <c r="J16" s="569"/>
      <c r="K16" s="572"/>
      <c r="L16" s="436"/>
      <c r="M16" s="472" t="s">
        <v>488</v>
      </c>
      <c r="O16" s="444"/>
    </row>
    <row r="17" spans="1:15" ht="12.75">
      <c r="A17" s="478"/>
      <c r="B17" s="477"/>
      <c r="C17" s="1621" t="s">
        <v>489</v>
      </c>
      <c r="D17" s="1589"/>
      <c r="E17" s="476">
        <v>5.88</v>
      </c>
      <c r="F17" s="475"/>
      <c r="G17" s="230"/>
      <c r="H17" s="474"/>
      <c r="I17" s="473"/>
      <c r="J17" s="569"/>
      <c r="K17" s="572"/>
      <c r="L17" s="436"/>
      <c r="M17" s="472" t="s">
        <v>489</v>
      </c>
      <c r="O17" s="444"/>
    </row>
    <row r="18" spans="1:80" ht="12.75">
      <c r="A18" s="461">
        <v>5</v>
      </c>
      <c r="B18" s="460" t="s">
        <v>492</v>
      </c>
      <c r="C18" s="459" t="s">
        <v>493</v>
      </c>
      <c r="D18" s="458" t="s">
        <v>154</v>
      </c>
      <c r="E18" s="457">
        <v>0.5</v>
      </c>
      <c r="F18" s="457">
        <v>0</v>
      </c>
      <c r="G18" s="456">
        <f>E18*F18</f>
        <v>0</v>
      </c>
      <c r="H18" s="455">
        <v>0</v>
      </c>
      <c r="I18" s="454">
        <f>E18*H18</f>
        <v>0</v>
      </c>
      <c r="J18" s="570">
        <v>0</v>
      </c>
      <c r="K18" s="571">
        <f>E18*J18</f>
        <v>0</v>
      </c>
      <c r="L18" s="436"/>
      <c r="O18" s="444">
        <v>2</v>
      </c>
      <c r="AA18" s="434">
        <v>1</v>
      </c>
      <c r="AB18" s="434">
        <v>1</v>
      </c>
      <c r="AC18" s="434">
        <v>1</v>
      </c>
      <c r="AZ18" s="434">
        <v>1</v>
      </c>
      <c r="BA18" s="434">
        <f>IF(AZ18=1,G18,0)</f>
        <v>0</v>
      </c>
      <c r="BB18" s="434">
        <f>IF(AZ18=2,G18,0)</f>
        <v>0</v>
      </c>
      <c r="BC18" s="434">
        <f>IF(AZ18=3,G18,0)</f>
        <v>0</v>
      </c>
      <c r="BD18" s="434">
        <f>IF(AZ18=4,G18,0)</f>
        <v>0</v>
      </c>
      <c r="BE18" s="434">
        <f>IF(AZ18=5,G18,0)</f>
        <v>0</v>
      </c>
      <c r="CA18" s="444">
        <v>1</v>
      </c>
      <c r="CB18" s="444">
        <v>1</v>
      </c>
    </row>
    <row r="19" spans="1:15" ht="12.75">
      <c r="A19" s="478"/>
      <c r="B19" s="477"/>
      <c r="C19" s="1621" t="s">
        <v>494</v>
      </c>
      <c r="D19" s="1589"/>
      <c r="E19" s="476">
        <v>0.5</v>
      </c>
      <c r="F19" s="475"/>
      <c r="G19" s="230"/>
      <c r="H19" s="474"/>
      <c r="I19" s="473"/>
      <c r="J19" s="569"/>
      <c r="K19" s="572"/>
      <c r="L19" s="436"/>
      <c r="M19" s="472" t="s">
        <v>494</v>
      </c>
      <c r="O19" s="444"/>
    </row>
    <row r="20" spans="1:80" ht="12.75">
      <c r="A20" s="461">
        <v>6</v>
      </c>
      <c r="B20" s="460" t="s">
        <v>495</v>
      </c>
      <c r="C20" s="459" t="s">
        <v>496</v>
      </c>
      <c r="D20" s="458" t="s">
        <v>154</v>
      </c>
      <c r="E20" s="457">
        <v>0.5</v>
      </c>
      <c r="F20" s="457">
        <v>0</v>
      </c>
      <c r="G20" s="456">
        <f>E20*F20</f>
        <v>0</v>
      </c>
      <c r="H20" s="455">
        <v>0</v>
      </c>
      <c r="I20" s="454">
        <f>E20*H20</f>
        <v>0</v>
      </c>
      <c r="J20" s="570">
        <v>0</v>
      </c>
      <c r="K20" s="571">
        <f>E20*J20</f>
        <v>0</v>
      </c>
      <c r="L20" s="436"/>
      <c r="O20" s="444">
        <v>2</v>
      </c>
      <c r="AA20" s="434">
        <v>1</v>
      </c>
      <c r="AB20" s="434">
        <v>1</v>
      </c>
      <c r="AC20" s="434">
        <v>1</v>
      </c>
      <c r="AZ20" s="434">
        <v>1</v>
      </c>
      <c r="BA20" s="434">
        <f>IF(AZ20=1,G20,0)</f>
        <v>0</v>
      </c>
      <c r="BB20" s="434">
        <f>IF(AZ20=2,G20,0)</f>
        <v>0</v>
      </c>
      <c r="BC20" s="434">
        <f>IF(AZ20=3,G20,0)</f>
        <v>0</v>
      </c>
      <c r="BD20" s="434">
        <f>IF(AZ20=4,G20,0)</f>
        <v>0</v>
      </c>
      <c r="BE20" s="434">
        <f>IF(AZ20=5,G20,0)</f>
        <v>0</v>
      </c>
      <c r="CA20" s="444">
        <v>1</v>
      </c>
      <c r="CB20" s="444">
        <v>1</v>
      </c>
    </row>
    <row r="21" spans="1:80" ht="20.4">
      <c r="A21" s="461">
        <v>7</v>
      </c>
      <c r="B21" s="460" t="s">
        <v>159</v>
      </c>
      <c r="C21" s="459" t="s">
        <v>160</v>
      </c>
      <c r="D21" s="458" t="s">
        <v>154</v>
      </c>
      <c r="E21" s="457">
        <v>30.24</v>
      </c>
      <c r="F21" s="457">
        <v>0</v>
      </c>
      <c r="G21" s="456">
        <f>E21*F21</f>
        <v>0</v>
      </c>
      <c r="H21" s="455">
        <v>0</v>
      </c>
      <c r="I21" s="454">
        <f>E21*H21</f>
        <v>0</v>
      </c>
      <c r="J21" s="570">
        <v>0</v>
      </c>
      <c r="K21" s="571">
        <f>E21*J21</f>
        <v>0</v>
      </c>
      <c r="L21" s="436"/>
      <c r="O21" s="444">
        <v>2</v>
      </c>
      <c r="AA21" s="434">
        <v>1</v>
      </c>
      <c r="AB21" s="434">
        <v>1</v>
      </c>
      <c r="AC21" s="434">
        <v>1</v>
      </c>
      <c r="AZ21" s="434">
        <v>1</v>
      </c>
      <c r="BA21" s="434">
        <f>IF(AZ21=1,G21,0)</f>
        <v>0</v>
      </c>
      <c r="BB21" s="434">
        <f>IF(AZ21=2,G21,0)</f>
        <v>0</v>
      </c>
      <c r="BC21" s="434">
        <f>IF(AZ21=3,G21,0)</f>
        <v>0</v>
      </c>
      <c r="BD21" s="434">
        <f>IF(AZ21=4,G21,0)</f>
        <v>0</v>
      </c>
      <c r="BE21" s="434">
        <f>IF(AZ21=5,G21,0)</f>
        <v>0</v>
      </c>
      <c r="CA21" s="444">
        <v>1</v>
      </c>
      <c r="CB21" s="444">
        <v>1</v>
      </c>
    </row>
    <row r="22" spans="1:15" ht="12.75">
      <c r="A22" s="478"/>
      <c r="B22" s="477"/>
      <c r="C22" s="1621" t="s">
        <v>497</v>
      </c>
      <c r="D22" s="1589"/>
      <c r="E22" s="476">
        <v>30.24</v>
      </c>
      <c r="F22" s="475"/>
      <c r="G22" s="230"/>
      <c r="H22" s="474"/>
      <c r="I22" s="473"/>
      <c r="J22" s="569"/>
      <c r="K22" s="572"/>
      <c r="L22" s="436"/>
      <c r="M22" s="472" t="s">
        <v>497</v>
      </c>
      <c r="O22" s="444"/>
    </row>
    <row r="23" spans="1:80" ht="12.75">
      <c r="A23" s="461">
        <v>8</v>
      </c>
      <c r="B23" s="460" t="s">
        <v>498</v>
      </c>
      <c r="C23" s="459" t="s">
        <v>499</v>
      </c>
      <c r="D23" s="458" t="s">
        <v>154</v>
      </c>
      <c r="E23" s="457">
        <v>302.4</v>
      </c>
      <c r="F23" s="457">
        <v>0</v>
      </c>
      <c r="G23" s="456">
        <f>E23*F23</f>
        <v>0</v>
      </c>
      <c r="H23" s="455">
        <v>0</v>
      </c>
      <c r="I23" s="454">
        <f>E23*H23</f>
        <v>0</v>
      </c>
      <c r="J23" s="570">
        <v>0</v>
      </c>
      <c r="K23" s="571">
        <f>E23*J23</f>
        <v>0</v>
      </c>
      <c r="L23" s="436"/>
      <c r="O23" s="444">
        <v>2</v>
      </c>
      <c r="AA23" s="434">
        <v>1</v>
      </c>
      <c r="AB23" s="434">
        <v>1</v>
      </c>
      <c r="AC23" s="434">
        <v>1</v>
      </c>
      <c r="AZ23" s="434">
        <v>1</v>
      </c>
      <c r="BA23" s="434">
        <f>IF(AZ23=1,G23,0)</f>
        <v>0</v>
      </c>
      <c r="BB23" s="434">
        <f>IF(AZ23=2,G23,0)</f>
        <v>0</v>
      </c>
      <c r="BC23" s="434">
        <f>IF(AZ23=3,G23,0)</f>
        <v>0</v>
      </c>
      <c r="BD23" s="434">
        <f>IF(AZ23=4,G23,0)</f>
        <v>0</v>
      </c>
      <c r="BE23" s="434">
        <f>IF(AZ23=5,G23,0)</f>
        <v>0</v>
      </c>
      <c r="CA23" s="444">
        <v>1</v>
      </c>
      <c r="CB23" s="444">
        <v>1</v>
      </c>
    </row>
    <row r="24" spans="1:15" ht="12.75">
      <c r="A24" s="478"/>
      <c r="B24" s="477"/>
      <c r="C24" s="1621" t="s">
        <v>500</v>
      </c>
      <c r="D24" s="1589"/>
      <c r="E24" s="476">
        <v>302.4</v>
      </c>
      <c r="F24" s="475"/>
      <c r="G24" s="230"/>
      <c r="H24" s="474"/>
      <c r="I24" s="473"/>
      <c r="J24" s="569"/>
      <c r="K24" s="572"/>
      <c r="L24" s="436"/>
      <c r="M24" s="472" t="s">
        <v>500</v>
      </c>
      <c r="O24" s="444"/>
    </row>
    <row r="25" spans="1:80" ht="12.75">
      <c r="A25" s="461">
        <v>9</v>
      </c>
      <c r="B25" s="460" t="s">
        <v>164</v>
      </c>
      <c r="C25" s="459" t="s">
        <v>165</v>
      </c>
      <c r="D25" s="458" t="s">
        <v>166</v>
      </c>
      <c r="E25" s="457">
        <v>63.504</v>
      </c>
      <c r="F25" s="457">
        <v>0</v>
      </c>
      <c r="G25" s="456">
        <f>E25*F25</f>
        <v>0</v>
      </c>
      <c r="H25" s="455">
        <v>0</v>
      </c>
      <c r="I25" s="454">
        <f>E25*H25</f>
        <v>0</v>
      </c>
      <c r="J25" s="570">
        <v>0</v>
      </c>
      <c r="K25" s="571">
        <f>E25*J25</f>
        <v>0</v>
      </c>
      <c r="L25" s="436"/>
      <c r="O25" s="444">
        <v>2</v>
      </c>
      <c r="AA25" s="434">
        <v>1</v>
      </c>
      <c r="AB25" s="434">
        <v>1</v>
      </c>
      <c r="AC25" s="434">
        <v>1</v>
      </c>
      <c r="AZ25" s="434">
        <v>1</v>
      </c>
      <c r="BA25" s="434">
        <f>IF(AZ25=1,G25,0)</f>
        <v>0</v>
      </c>
      <c r="BB25" s="434">
        <f>IF(AZ25=2,G25,0)</f>
        <v>0</v>
      </c>
      <c r="BC25" s="434">
        <f>IF(AZ25=3,G25,0)</f>
        <v>0</v>
      </c>
      <c r="BD25" s="434">
        <f>IF(AZ25=4,G25,0)</f>
        <v>0</v>
      </c>
      <c r="BE25" s="434">
        <f>IF(AZ25=5,G25,0)</f>
        <v>0</v>
      </c>
      <c r="CA25" s="444">
        <v>1</v>
      </c>
      <c r="CB25" s="444">
        <v>1</v>
      </c>
    </row>
    <row r="26" spans="1:15" ht="12.75">
      <c r="A26" s="478"/>
      <c r="B26" s="573"/>
      <c r="C26" s="1627"/>
      <c r="D26" s="1596"/>
      <c r="E26" s="1596"/>
      <c r="F26" s="1596"/>
      <c r="G26" s="1597"/>
      <c r="I26" s="473"/>
      <c r="J26" s="574"/>
      <c r="K26" s="572"/>
      <c r="L26" s="575"/>
      <c r="O26" s="444">
        <v>3</v>
      </c>
    </row>
    <row r="27" spans="1:15" ht="12.75">
      <c r="A27" s="478"/>
      <c r="B27" s="477"/>
      <c r="C27" s="1621" t="s">
        <v>501</v>
      </c>
      <c r="D27" s="1589"/>
      <c r="E27" s="476">
        <v>63.504</v>
      </c>
      <c r="F27" s="475"/>
      <c r="G27" s="230"/>
      <c r="H27" s="474"/>
      <c r="I27" s="473"/>
      <c r="J27" s="568"/>
      <c r="K27" s="572"/>
      <c r="L27" s="436"/>
      <c r="M27" s="472" t="s">
        <v>501</v>
      </c>
      <c r="O27" s="444"/>
    </row>
    <row r="28" spans="1:80" ht="12.75">
      <c r="A28" s="461">
        <v>10</v>
      </c>
      <c r="B28" s="460" t="s">
        <v>502</v>
      </c>
      <c r="C28" s="459" t="s">
        <v>503</v>
      </c>
      <c r="D28" s="458" t="s">
        <v>154</v>
      </c>
      <c r="E28" s="457">
        <v>8</v>
      </c>
      <c r="F28" s="457">
        <v>0</v>
      </c>
      <c r="G28" s="456">
        <f>E28*F28</f>
        <v>0</v>
      </c>
      <c r="H28" s="455">
        <v>0</v>
      </c>
      <c r="I28" s="454">
        <f>E28*H28</f>
        <v>0</v>
      </c>
      <c r="J28" s="570">
        <v>0</v>
      </c>
      <c r="K28" s="571">
        <f>E28*J28</f>
        <v>0</v>
      </c>
      <c r="L28" s="436"/>
      <c r="O28" s="444">
        <v>2</v>
      </c>
      <c r="AA28" s="434">
        <v>1</v>
      </c>
      <c r="AB28" s="434">
        <v>1</v>
      </c>
      <c r="AC28" s="434">
        <v>1</v>
      </c>
      <c r="AZ28" s="434">
        <v>1</v>
      </c>
      <c r="BA28" s="434">
        <f>IF(AZ28=1,G28,0)</f>
        <v>0</v>
      </c>
      <c r="BB28" s="434">
        <f>IF(AZ28=2,G28,0)</f>
        <v>0</v>
      </c>
      <c r="BC28" s="434">
        <f>IF(AZ28=3,G28,0)</f>
        <v>0</v>
      </c>
      <c r="BD28" s="434">
        <f>IF(AZ28=4,G28,0)</f>
        <v>0</v>
      </c>
      <c r="BE28" s="434">
        <f>IF(AZ28=5,G28,0)</f>
        <v>0</v>
      </c>
      <c r="CA28" s="444">
        <v>1</v>
      </c>
      <c r="CB28" s="444">
        <v>1</v>
      </c>
    </row>
    <row r="29" spans="1:15" ht="12.75">
      <c r="A29" s="478"/>
      <c r="B29" s="477"/>
      <c r="C29" s="1621" t="s">
        <v>504</v>
      </c>
      <c r="D29" s="1589"/>
      <c r="E29" s="476">
        <v>8</v>
      </c>
      <c r="F29" s="475"/>
      <c r="G29" s="230"/>
      <c r="H29" s="474"/>
      <c r="I29" s="473"/>
      <c r="J29" s="569"/>
      <c r="K29" s="572"/>
      <c r="L29" s="436"/>
      <c r="M29" s="472" t="s">
        <v>504</v>
      </c>
      <c r="O29" s="444"/>
    </row>
    <row r="30" spans="1:80" ht="12.75">
      <c r="A30" s="461">
        <v>11</v>
      </c>
      <c r="B30" s="460" t="s">
        <v>172</v>
      </c>
      <c r="C30" s="459" t="s">
        <v>173</v>
      </c>
      <c r="D30" s="458" t="s">
        <v>145</v>
      </c>
      <c r="E30" s="457">
        <v>79.3</v>
      </c>
      <c r="F30" s="457">
        <v>0</v>
      </c>
      <c r="G30" s="456">
        <f>E30*F30</f>
        <v>0</v>
      </c>
      <c r="H30" s="455">
        <v>0</v>
      </c>
      <c r="I30" s="454">
        <f>E30*H30</f>
        <v>0</v>
      </c>
      <c r="J30" s="570">
        <v>0</v>
      </c>
      <c r="K30" s="571">
        <f>E30*J30</f>
        <v>0</v>
      </c>
      <c r="L30" s="436"/>
      <c r="O30" s="444">
        <v>2</v>
      </c>
      <c r="AA30" s="434">
        <v>1</v>
      </c>
      <c r="AB30" s="434">
        <v>1</v>
      </c>
      <c r="AC30" s="434">
        <v>1</v>
      </c>
      <c r="AZ30" s="434">
        <v>1</v>
      </c>
      <c r="BA30" s="434">
        <f>IF(AZ30=1,G30,0)</f>
        <v>0</v>
      </c>
      <c r="BB30" s="434">
        <f>IF(AZ30=2,G30,0)</f>
        <v>0</v>
      </c>
      <c r="BC30" s="434">
        <f>IF(AZ30=3,G30,0)</f>
        <v>0</v>
      </c>
      <c r="BD30" s="434">
        <f>IF(AZ30=4,G30,0)</f>
        <v>0</v>
      </c>
      <c r="BE30" s="434">
        <f>IF(AZ30=5,G30,0)</f>
        <v>0</v>
      </c>
      <c r="CA30" s="444">
        <v>1</v>
      </c>
      <c r="CB30" s="444">
        <v>1</v>
      </c>
    </row>
    <row r="31" spans="1:15" ht="12.75">
      <c r="A31" s="478"/>
      <c r="B31" s="477"/>
      <c r="C31" s="1621" t="s">
        <v>505</v>
      </c>
      <c r="D31" s="1589"/>
      <c r="E31" s="476">
        <v>79.3</v>
      </c>
      <c r="F31" s="475"/>
      <c r="G31" s="230"/>
      <c r="H31" s="474"/>
      <c r="I31" s="473"/>
      <c r="J31" s="569"/>
      <c r="K31" s="572"/>
      <c r="L31" s="436"/>
      <c r="M31" s="472" t="s">
        <v>505</v>
      </c>
      <c r="O31" s="444"/>
    </row>
    <row r="32" spans="1:57" ht="12.75">
      <c r="A32" s="453"/>
      <c r="B32" s="452" t="s">
        <v>175</v>
      </c>
      <c r="C32" s="451" t="s">
        <v>176</v>
      </c>
      <c r="D32" s="450"/>
      <c r="E32" s="449"/>
      <c r="F32" s="448"/>
      <c r="G32" s="447">
        <f>SUM(G7:G31)</f>
        <v>0</v>
      </c>
      <c r="H32" s="446"/>
      <c r="I32" s="445">
        <f>SUM(I7:I31)</f>
        <v>0</v>
      </c>
      <c r="J32" s="568"/>
      <c r="K32" s="576">
        <f>SUM(K7:K31)</f>
        <v>0</v>
      </c>
      <c r="L32" s="436"/>
      <c r="O32" s="444">
        <v>4</v>
      </c>
      <c r="BA32" s="443">
        <f>SUM(BA7:BA31)</f>
        <v>0</v>
      </c>
      <c r="BB32" s="443">
        <f>SUM(BB7:BB31)</f>
        <v>0</v>
      </c>
      <c r="BC32" s="443">
        <f>SUM(BC7:BC31)</f>
        <v>0</v>
      </c>
      <c r="BD32" s="443">
        <f>SUM(BD7:BD31)</f>
        <v>0</v>
      </c>
      <c r="BE32" s="443">
        <f>SUM(BE7:BE31)</f>
        <v>0</v>
      </c>
    </row>
    <row r="33" spans="1:15" ht="12.75">
      <c r="A33" s="471" t="s">
        <v>140</v>
      </c>
      <c r="B33" s="470" t="s">
        <v>177</v>
      </c>
      <c r="C33" s="469" t="s">
        <v>178</v>
      </c>
      <c r="D33" s="468"/>
      <c r="E33" s="467"/>
      <c r="F33" s="467"/>
      <c r="G33" s="466"/>
      <c r="H33" s="465"/>
      <c r="I33" s="464"/>
      <c r="J33" s="568"/>
      <c r="K33" s="569"/>
      <c r="L33" s="436"/>
      <c r="O33" s="444">
        <v>1</v>
      </c>
    </row>
    <row r="34" spans="1:80" ht="12.75">
      <c r="A34" s="461">
        <v>12</v>
      </c>
      <c r="B34" s="460" t="s">
        <v>506</v>
      </c>
      <c r="C34" s="459" t="s">
        <v>507</v>
      </c>
      <c r="D34" s="458" t="s">
        <v>145</v>
      </c>
      <c r="E34" s="457">
        <v>47.84</v>
      </c>
      <c r="F34" s="457"/>
      <c r="G34" s="456">
        <f>E34*F34</f>
        <v>0</v>
      </c>
      <c r="H34" s="455">
        <v>0</v>
      </c>
      <c r="I34" s="454">
        <f>E34*H34</f>
        <v>0</v>
      </c>
      <c r="J34" s="570">
        <v>0</v>
      </c>
      <c r="K34" s="571">
        <f>E34*J34</f>
        <v>0</v>
      </c>
      <c r="L34" s="436"/>
      <c r="O34" s="444">
        <v>2</v>
      </c>
      <c r="AA34" s="434">
        <v>1</v>
      </c>
      <c r="AB34" s="434">
        <v>1</v>
      </c>
      <c r="AC34" s="434">
        <v>1</v>
      </c>
      <c r="AZ34" s="434">
        <v>1</v>
      </c>
      <c r="BA34" s="434">
        <f>IF(AZ34=1,G34,0)</f>
        <v>0</v>
      </c>
      <c r="BB34" s="434">
        <f>IF(AZ34=2,G34,0)</f>
        <v>0</v>
      </c>
      <c r="BC34" s="434">
        <f>IF(AZ34=3,G34,0)</f>
        <v>0</v>
      </c>
      <c r="BD34" s="434">
        <f>IF(AZ34=4,G34,0)</f>
        <v>0</v>
      </c>
      <c r="BE34" s="434">
        <f>IF(AZ34=5,G34,0)</f>
        <v>0</v>
      </c>
      <c r="CA34" s="444">
        <v>1</v>
      </c>
      <c r="CB34" s="444">
        <v>1</v>
      </c>
    </row>
    <row r="35" spans="1:15" ht="12.75">
      <c r="A35" s="478"/>
      <c r="B35" s="477"/>
      <c r="C35" s="1621" t="s">
        <v>508</v>
      </c>
      <c r="D35" s="1589"/>
      <c r="E35" s="476">
        <v>47.84</v>
      </c>
      <c r="F35" s="475"/>
      <c r="G35" s="230"/>
      <c r="H35" s="474"/>
      <c r="I35" s="473"/>
      <c r="J35" s="569"/>
      <c r="K35" s="572"/>
      <c r="L35" s="436"/>
      <c r="M35" s="472" t="s">
        <v>508</v>
      </c>
      <c r="O35" s="444"/>
    </row>
    <row r="36" spans="1:80" ht="12.75">
      <c r="A36" s="461">
        <v>13</v>
      </c>
      <c r="B36" s="460" t="s">
        <v>509</v>
      </c>
      <c r="C36" s="459" t="s">
        <v>510</v>
      </c>
      <c r="D36" s="458" t="s">
        <v>181</v>
      </c>
      <c r="E36" s="457">
        <v>1</v>
      </c>
      <c r="F36" s="457"/>
      <c r="G36" s="456">
        <f>E36*F36</f>
        <v>0</v>
      </c>
      <c r="H36" s="455">
        <v>0</v>
      </c>
      <c r="I36" s="454">
        <f>E36*H36</f>
        <v>0</v>
      </c>
      <c r="J36" s="570">
        <v>0</v>
      </c>
      <c r="K36" s="571">
        <f>E36*J36</f>
        <v>0</v>
      </c>
      <c r="L36" s="436"/>
      <c r="O36" s="444">
        <v>2</v>
      </c>
      <c r="AA36" s="434">
        <v>1</v>
      </c>
      <c r="AB36" s="434">
        <v>1</v>
      </c>
      <c r="AC36" s="434">
        <v>1</v>
      </c>
      <c r="AZ36" s="434">
        <v>1</v>
      </c>
      <c r="BA36" s="434">
        <f>IF(AZ36=1,G36,0)</f>
        <v>0</v>
      </c>
      <c r="BB36" s="434">
        <f>IF(AZ36=2,G36,0)</f>
        <v>0</v>
      </c>
      <c r="BC36" s="434">
        <f>IF(AZ36=3,G36,0)</f>
        <v>0</v>
      </c>
      <c r="BD36" s="434">
        <f>IF(AZ36=4,G36,0)</f>
        <v>0</v>
      </c>
      <c r="BE36" s="434">
        <f>IF(AZ36=5,G36,0)</f>
        <v>0</v>
      </c>
      <c r="CA36" s="444">
        <v>1</v>
      </c>
      <c r="CB36" s="444">
        <v>1</v>
      </c>
    </row>
    <row r="37" spans="1:80" ht="12.75">
      <c r="A37" s="461">
        <v>14</v>
      </c>
      <c r="B37" s="460" t="s">
        <v>511</v>
      </c>
      <c r="C37" s="459" t="s">
        <v>512</v>
      </c>
      <c r="D37" s="458" t="s">
        <v>231</v>
      </c>
      <c r="E37" s="457">
        <v>14.7</v>
      </c>
      <c r="F37" s="457"/>
      <c r="G37" s="456">
        <f>E37*F37</f>
        <v>0</v>
      </c>
      <c r="H37" s="455">
        <v>0.0185</v>
      </c>
      <c r="I37" s="454">
        <f>E37*H37</f>
        <v>0.27194999999999997</v>
      </c>
      <c r="J37" s="570">
        <v>0</v>
      </c>
      <c r="K37" s="571">
        <f>E37*J37</f>
        <v>0</v>
      </c>
      <c r="L37" s="436"/>
      <c r="O37" s="444">
        <v>2</v>
      </c>
      <c r="AA37" s="434">
        <v>1</v>
      </c>
      <c r="AB37" s="434">
        <v>0</v>
      </c>
      <c r="AC37" s="434">
        <v>0</v>
      </c>
      <c r="AZ37" s="434">
        <v>1</v>
      </c>
      <c r="BA37" s="434">
        <f>IF(AZ37=1,G37,0)</f>
        <v>0</v>
      </c>
      <c r="BB37" s="434">
        <f>IF(AZ37=2,G37,0)</f>
        <v>0</v>
      </c>
      <c r="BC37" s="434">
        <f>IF(AZ37=3,G37,0)</f>
        <v>0</v>
      </c>
      <c r="BD37" s="434">
        <f>IF(AZ37=4,G37,0)</f>
        <v>0</v>
      </c>
      <c r="BE37" s="434">
        <f>IF(AZ37=5,G37,0)</f>
        <v>0</v>
      </c>
      <c r="CA37" s="444">
        <v>1</v>
      </c>
      <c r="CB37" s="444">
        <v>0</v>
      </c>
    </row>
    <row r="38" spans="1:15" ht="12.75">
      <c r="A38" s="478"/>
      <c r="B38" s="477"/>
      <c r="C38" s="1621" t="s">
        <v>513</v>
      </c>
      <c r="D38" s="1589"/>
      <c r="E38" s="476">
        <v>0</v>
      </c>
      <c r="F38" s="475"/>
      <c r="G38" s="230"/>
      <c r="H38" s="474"/>
      <c r="I38" s="473"/>
      <c r="J38" s="569"/>
      <c r="K38" s="572"/>
      <c r="L38" s="436"/>
      <c r="M38" s="472" t="s">
        <v>513</v>
      </c>
      <c r="O38" s="444"/>
    </row>
    <row r="39" spans="1:15" ht="12.75">
      <c r="A39" s="478"/>
      <c r="B39" s="477"/>
      <c r="C39" s="1621" t="s">
        <v>514</v>
      </c>
      <c r="D39" s="1589"/>
      <c r="E39" s="476">
        <v>10.7</v>
      </c>
      <c r="F39" s="475"/>
      <c r="G39" s="230"/>
      <c r="H39" s="474"/>
      <c r="I39" s="473"/>
      <c r="J39" s="569"/>
      <c r="K39" s="572"/>
      <c r="L39" s="436"/>
      <c r="M39" s="472" t="s">
        <v>514</v>
      </c>
      <c r="O39" s="444"/>
    </row>
    <row r="40" spans="1:15" ht="12.75">
      <c r="A40" s="478"/>
      <c r="B40" s="477"/>
      <c r="C40" s="1621" t="s">
        <v>515</v>
      </c>
      <c r="D40" s="1589"/>
      <c r="E40" s="476">
        <v>2</v>
      </c>
      <c r="F40" s="475"/>
      <c r="G40" s="230"/>
      <c r="H40" s="474"/>
      <c r="I40" s="473"/>
      <c r="J40" s="569"/>
      <c r="K40" s="572"/>
      <c r="L40" s="436"/>
      <c r="M40" s="472" t="s">
        <v>515</v>
      </c>
      <c r="O40" s="444"/>
    </row>
    <row r="41" spans="1:15" ht="12.75">
      <c r="A41" s="478"/>
      <c r="B41" s="477"/>
      <c r="C41" s="1621" t="s">
        <v>516</v>
      </c>
      <c r="D41" s="1589"/>
      <c r="E41" s="476">
        <v>2</v>
      </c>
      <c r="F41" s="475"/>
      <c r="G41" s="230"/>
      <c r="H41" s="474"/>
      <c r="I41" s="473"/>
      <c r="J41" s="569"/>
      <c r="K41" s="572"/>
      <c r="L41" s="436"/>
      <c r="M41" s="472" t="s">
        <v>516</v>
      </c>
      <c r="O41" s="444"/>
    </row>
    <row r="42" spans="1:57" ht="12.75">
      <c r="A42" s="453"/>
      <c r="B42" s="452" t="s">
        <v>175</v>
      </c>
      <c r="C42" s="451" t="s">
        <v>182</v>
      </c>
      <c r="D42" s="450"/>
      <c r="E42" s="449"/>
      <c r="F42" s="448"/>
      <c r="G42" s="447">
        <f>SUM(G33:G41)</f>
        <v>0</v>
      </c>
      <c r="H42" s="446"/>
      <c r="I42" s="445">
        <f>SUM(I33:I41)</f>
        <v>0.27194999999999997</v>
      </c>
      <c r="J42" s="568"/>
      <c r="K42" s="576">
        <f>SUM(K33:K41)</f>
        <v>0</v>
      </c>
      <c r="L42" s="436"/>
      <c r="O42" s="444">
        <v>4</v>
      </c>
      <c r="BA42" s="443">
        <f>SUM(BA33:BA41)</f>
        <v>0</v>
      </c>
      <c r="BB42" s="443">
        <f>SUM(BB33:BB41)</f>
        <v>0</v>
      </c>
      <c r="BC42" s="443">
        <f>SUM(BC33:BC41)</f>
        <v>0</v>
      </c>
      <c r="BD42" s="443">
        <f>SUM(BD33:BD41)</f>
        <v>0</v>
      </c>
      <c r="BE42" s="443">
        <f>SUM(BE33:BE41)</f>
        <v>0</v>
      </c>
    </row>
    <row r="43" spans="1:15" ht="12.75">
      <c r="A43" s="471" t="s">
        <v>140</v>
      </c>
      <c r="B43" s="470" t="s">
        <v>183</v>
      </c>
      <c r="C43" s="469" t="s">
        <v>184</v>
      </c>
      <c r="D43" s="468"/>
      <c r="E43" s="467"/>
      <c r="F43" s="467"/>
      <c r="G43" s="466"/>
      <c r="H43" s="465"/>
      <c r="I43" s="464"/>
      <c r="J43" s="568"/>
      <c r="K43" s="569"/>
      <c r="L43" s="436"/>
      <c r="O43" s="444">
        <v>1</v>
      </c>
    </row>
    <row r="44" spans="1:80" ht="12.75">
      <c r="A44" s="461">
        <v>15</v>
      </c>
      <c r="B44" s="460" t="s">
        <v>517</v>
      </c>
      <c r="C44" s="459" t="s">
        <v>518</v>
      </c>
      <c r="D44" s="458" t="s">
        <v>154</v>
      </c>
      <c r="E44" s="457">
        <v>4.312</v>
      </c>
      <c r="F44" s="457"/>
      <c r="G44" s="456">
        <f>E44*F44</f>
        <v>0</v>
      </c>
      <c r="H44" s="455">
        <v>2.16</v>
      </c>
      <c r="I44" s="454">
        <f>E44*H44</f>
        <v>9.313920000000001</v>
      </c>
      <c r="J44" s="570">
        <v>0</v>
      </c>
      <c r="K44" s="571">
        <f>E44*J44</f>
        <v>0</v>
      </c>
      <c r="L44" s="436"/>
      <c r="O44" s="444">
        <v>2</v>
      </c>
      <c r="AA44" s="434">
        <v>1</v>
      </c>
      <c r="AB44" s="434">
        <v>1</v>
      </c>
      <c r="AC44" s="434">
        <v>1</v>
      </c>
      <c r="AZ44" s="434">
        <v>1</v>
      </c>
      <c r="BA44" s="434">
        <f>IF(AZ44=1,G44,0)</f>
        <v>0</v>
      </c>
      <c r="BB44" s="434">
        <f>IF(AZ44=2,G44,0)</f>
        <v>0</v>
      </c>
      <c r="BC44" s="434">
        <f>IF(AZ44=3,G44,0)</f>
        <v>0</v>
      </c>
      <c r="BD44" s="434">
        <f>IF(AZ44=4,G44,0)</f>
        <v>0</v>
      </c>
      <c r="BE44" s="434">
        <f>IF(AZ44=5,G44,0)</f>
        <v>0</v>
      </c>
      <c r="CA44" s="444">
        <v>1</v>
      </c>
      <c r="CB44" s="444">
        <v>1</v>
      </c>
    </row>
    <row r="45" spans="1:15" ht="12.75">
      <c r="A45" s="478"/>
      <c r="B45" s="477"/>
      <c r="C45" s="1621" t="s">
        <v>519</v>
      </c>
      <c r="D45" s="1589"/>
      <c r="E45" s="476">
        <v>4.312</v>
      </c>
      <c r="F45" s="475"/>
      <c r="G45" s="230"/>
      <c r="H45" s="474"/>
      <c r="I45" s="473"/>
      <c r="J45" s="569"/>
      <c r="K45" s="572"/>
      <c r="L45" s="436"/>
      <c r="M45" s="472" t="s">
        <v>519</v>
      </c>
      <c r="O45" s="444"/>
    </row>
    <row r="46" spans="1:80" ht="12.75">
      <c r="A46" s="461">
        <v>16</v>
      </c>
      <c r="B46" s="460" t="s">
        <v>520</v>
      </c>
      <c r="C46" s="459" t="s">
        <v>521</v>
      </c>
      <c r="D46" s="458" t="s">
        <v>154</v>
      </c>
      <c r="E46" s="457">
        <v>4.312</v>
      </c>
      <c r="F46" s="457"/>
      <c r="G46" s="456">
        <f>E46*F46</f>
        <v>0</v>
      </c>
      <c r="H46" s="455">
        <v>2.525</v>
      </c>
      <c r="I46" s="454">
        <f>E46*H46</f>
        <v>10.8878</v>
      </c>
      <c r="J46" s="570">
        <v>0</v>
      </c>
      <c r="K46" s="571">
        <f>E46*J46</f>
        <v>0</v>
      </c>
      <c r="L46" s="436"/>
      <c r="O46" s="444">
        <v>2</v>
      </c>
      <c r="AA46" s="434">
        <v>1</v>
      </c>
      <c r="AB46" s="434">
        <v>1</v>
      </c>
      <c r="AC46" s="434">
        <v>1</v>
      </c>
      <c r="AZ46" s="434">
        <v>1</v>
      </c>
      <c r="BA46" s="434">
        <f>IF(AZ46=1,G46,0)</f>
        <v>0</v>
      </c>
      <c r="BB46" s="434">
        <f>IF(AZ46=2,G46,0)</f>
        <v>0</v>
      </c>
      <c r="BC46" s="434">
        <f>IF(AZ46=3,G46,0)</f>
        <v>0</v>
      </c>
      <c r="BD46" s="434">
        <f>IF(AZ46=4,G46,0)</f>
        <v>0</v>
      </c>
      <c r="BE46" s="434">
        <f>IF(AZ46=5,G46,0)</f>
        <v>0</v>
      </c>
      <c r="CA46" s="444">
        <v>1</v>
      </c>
      <c r="CB46" s="444">
        <v>1</v>
      </c>
    </row>
    <row r="47" spans="1:15" ht="12.75">
      <c r="A47" s="478"/>
      <c r="B47" s="477"/>
      <c r="C47" s="1621" t="s">
        <v>519</v>
      </c>
      <c r="D47" s="1589"/>
      <c r="E47" s="476">
        <v>4.312</v>
      </c>
      <c r="F47" s="475"/>
      <c r="G47" s="230"/>
      <c r="H47" s="474"/>
      <c r="I47" s="473"/>
      <c r="J47" s="569"/>
      <c r="K47" s="572"/>
      <c r="L47" s="436"/>
      <c r="M47" s="472" t="s">
        <v>519</v>
      </c>
      <c r="O47" s="444"/>
    </row>
    <row r="48" spans="1:80" ht="20.4">
      <c r="A48" s="461">
        <v>17</v>
      </c>
      <c r="B48" s="460" t="s">
        <v>522</v>
      </c>
      <c r="C48" s="459" t="s">
        <v>523</v>
      </c>
      <c r="D48" s="458" t="s">
        <v>166</v>
      </c>
      <c r="E48" s="457">
        <v>0.3406</v>
      </c>
      <c r="F48" s="457"/>
      <c r="G48" s="456">
        <f>E48*F48</f>
        <v>0</v>
      </c>
      <c r="H48" s="455">
        <v>0.00374</v>
      </c>
      <c r="I48" s="454">
        <f>E48*H48</f>
        <v>0.0012738439999999999</v>
      </c>
      <c r="J48" s="570">
        <v>0</v>
      </c>
      <c r="K48" s="571">
        <f>E48*J48</f>
        <v>0</v>
      </c>
      <c r="L48" s="436"/>
      <c r="O48" s="444">
        <v>2</v>
      </c>
      <c r="AA48" s="434">
        <v>1</v>
      </c>
      <c r="AB48" s="434">
        <v>1</v>
      </c>
      <c r="AC48" s="434">
        <v>1</v>
      </c>
      <c r="AZ48" s="434">
        <v>1</v>
      </c>
      <c r="BA48" s="434">
        <f>IF(AZ48=1,G48,0)</f>
        <v>0</v>
      </c>
      <c r="BB48" s="434">
        <f>IF(AZ48=2,G48,0)</f>
        <v>0</v>
      </c>
      <c r="BC48" s="434">
        <f>IF(AZ48=3,G48,0)</f>
        <v>0</v>
      </c>
      <c r="BD48" s="434">
        <f>IF(AZ48=4,G48,0)</f>
        <v>0</v>
      </c>
      <c r="BE48" s="434">
        <f>IF(AZ48=5,G48,0)</f>
        <v>0</v>
      </c>
      <c r="CA48" s="444">
        <v>1</v>
      </c>
      <c r="CB48" s="444">
        <v>1</v>
      </c>
    </row>
    <row r="49" spans="1:15" ht="12.75">
      <c r="A49" s="478"/>
      <c r="B49" s="477"/>
      <c r="C49" s="1621" t="s">
        <v>524</v>
      </c>
      <c r="D49" s="1589"/>
      <c r="E49" s="476">
        <v>0.3406</v>
      </c>
      <c r="F49" s="475"/>
      <c r="G49" s="230"/>
      <c r="H49" s="474"/>
      <c r="I49" s="473"/>
      <c r="J49" s="569"/>
      <c r="K49" s="572"/>
      <c r="L49" s="436"/>
      <c r="M49" s="472" t="s">
        <v>524</v>
      </c>
      <c r="O49" s="444"/>
    </row>
    <row r="50" spans="1:80" ht="12.75">
      <c r="A50" s="461">
        <v>18</v>
      </c>
      <c r="B50" s="460" t="s">
        <v>185</v>
      </c>
      <c r="C50" s="459" t="s">
        <v>186</v>
      </c>
      <c r="D50" s="458" t="s">
        <v>154</v>
      </c>
      <c r="E50" s="457">
        <v>18.44</v>
      </c>
      <c r="F50" s="457"/>
      <c r="G50" s="456">
        <f>E50*F50</f>
        <v>0</v>
      </c>
      <c r="H50" s="455">
        <v>2.525</v>
      </c>
      <c r="I50" s="454">
        <f>E50*H50</f>
        <v>46.561</v>
      </c>
      <c r="J50" s="570">
        <v>0</v>
      </c>
      <c r="K50" s="571">
        <f>E50*J50</f>
        <v>0</v>
      </c>
      <c r="L50" s="436"/>
      <c r="O50" s="444">
        <v>2</v>
      </c>
      <c r="AA50" s="434">
        <v>1</v>
      </c>
      <c r="AB50" s="434">
        <v>1</v>
      </c>
      <c r="AC50" s="434">
        <v>1</v>
      </c>
      <c r="AZ50" s="434">
        <v>1</v>
      </c>
      <c r="BA50" s="434">
        <f>IF(AZ50=1,G50,0)</f>
        <v>0</v>
      </c>
      <c r="BB50" s="434">
        <f>IF(AZ50=2,G50,0)</f>
        <v>0</v>
      </c>
      <c r="BC50" s="434">
        <f>IF(AZ50=3,G50,0)</f>
        <v>0</v>
      </c>
      <c r="BD50" s="434">
        <f>IF(AZ50=4,G50,0)</f>
        <v>0</v>
      </c>
      <c r="BE50" s="434">
        <f>IF(AZ50=5,G50,0)</f>
        <v>0</v>
      </c>
      <c r="CA50" s="444">
        <v>1</v>
      </c>
      <c r="CB50" s="444">
        <v>1</v>
      </c>
    </row>
    <row r="51" spans="1:15" ht="12.75">
      <c r="A51" s="478"/>
      <c r="B51" s="477"/>
      <c r="C51" s="1621" t="s">
        <v>525</v>
      </c>
      <c r="D51" s="1589"/>
      <c r="E51" s="476">
        <v>6</v>
      </c>
      <c r="F51" s="475"/>
      <c r="G51" s="230"/>
      <c r="H51" s="474"/>
      <c r="I51" s="473"/>
      <c r="J51" s="569"/>
      <c r="K51" s="572"/>
      <c r="L51" s="436"/>
      <c r="M51" s="472" t="s">
        <v>525</v>
      </c>
      <c r="O51" s="444"/>
    </row>
    <row r="52" spans="1:15" ht="12.75">
      <c r="A52" s="478"/>
      <c r="B52" s="477"/>
      <c r="C52" s="1621" t="s">
        <v>526</v>
      </c>
      <c r="D52" s="1589"/>
      <c r="E52" s="476">
        <v>2.94</v>
      </c>
      <c r="F52" s="475"/>
      <c r="G52" s="230"/>
      <c r="H52" s="474"/>
      <c r="I52" s="473"/>
      <c r="J52" s="569"/>
      <c r="K52" s="572"/>
      <c r="L52" s="436"/>
      <c r="M52" s="472" t="s">
        <v>526</v>
      </c>
      <c r="O52" s="444"/>
    </row>
    <row r="53" spans="1:15" ht="12.75">
      <c r="A53" s="478"/>
      <c r="B53" s="477"/>
      <c r="C53" s="1621" t="s">
        <v>527</v>
      </c>
      <c r="D53" s="1589"/>
      <c r="E53" s="476">
        <v>4</v>
      </c>
      <c r="F53" s="475"/>
      <c r="G53" s="230"/>
      <c r="H53" s="474"/>
      <c r="I53" s="473"/>
      <c r="J53" s="569"/>
      <c r="K53" s="572"/>
      <c r="L53" s="436"/>
      <c r="M53" s="472" t="s">
        <v>527</v>
      </c>
      <c r="O53" s="444"/>
    </row>
    <row r="54" spans="1:15" ht="12.75">
      <c r="A54" s="478"/>
      <c r="B54" s="477"/>
      <c r="C54" s="1621" t="s">
        <v>528</v>
      </c>
      <c r="D54" s="1589"/>
      <c r="E54" s="476">
        <v>1.96</v>
      </c>
      <c r="F54" s="475"/>
      <c r="G54" s="230"/>
      <c r="H54" s="474"/>
      <c r="I54" s="473"/>
      <c r="J54" s="569"/>
      <c r="K54" s="572"/>
      <c r="L54" s="436"/>
      <c r="M54" s="472" t="s">
        <v>528</v>
      </c>
      <c r="O54" s="444"/>
    </row>
    <row r="55" spans="1:15" ht="12.75">
      <c r="A55" s="478"/>
      <c r="B55" s="477"/>
      <c r="C55" s="1621" t="s">
        <v>529</v>
      </c>
      <c r="D55" s="1589"/>
      <c r="E55" s="476">
        <v>3.54</v>
      </c>
      <c r="F55" s="475"/>
      <c r="G55" s="230"/>
      <c r="H55" s="474"/>
      <c r="I55" s="473"/>
      <c r="J55" s="569"/>
      <c r="K55" s="572"/>
      <c r="L55" s="436"/>
      <c r="M55" s="472" t="s">
        <v>529</v>
      </c>
      <c r="O55" s="444"/>
    </row>
    <row r="56" spans="1:80" ht="12.75">
      <c r="A56" s="461">
        <v>19</v>
      </c>
      <c r="B56" s="460" t="s">
        <v>530</v>
      </c>
      <c r="C56" s="459" t="s">
        <v>531</v>
      </c>
      <c r="D56" s="458" t="s">
        <v>145</v>
      </c>
      <c r="E56" s="457">
        <v>14.9</v>
      </c>
      <c r="F56" s="457"/>
      <c r="G56" s="456">
        <f>E56*F56</f>
        <v>0</v>
      </c>
      <c r="H56" s="455">
        <v>0.03916</v>
      </c>
      <c r="I56" s="454">
        <f>E56*H56</f>
        <v>0.583484</v>
      </c>
      <c r="J56" s="570">
        <v>0</v>
      </c>
      <c r="K56" s="571">
        <f>E56*J56</f>
        <v>0</v>
      </c>
      <c r="L56" s="436"/>
      <c r="O56" s="444">
        <v>2</v>
      </c>
      <c r="AA56" s="434">
        <v>1</v>
      </c>
      <c r="AB56" s="434">
        <v>1</v>
      </c>
      <c r="AC56" s="434">
        <v>1</v>
      </c>
      <c r="AZ56" s="434">
        <v>1</v>
      </c>
      <c r="BA56" s="434">
        <f>IF(AZ56=1,G56,0)</f>
        <v>0</v>
      </c>
      <c r="BB56" s="434">
        <f>IF(AZ56=2,G56,0)</f>
        <v>0</v>
      </c>
      <c r="BC56" s="434">
        <f>IF(AZ56=3,G56,0)</f>
        <v>0</v>
      </c>
      <c r="BD56" s="434">
        <f>IF(AZ56=4,G56,0)</f>
        <v>0</v>
      </c>
      <c r="BE56" s="434">
        <f>IF(AZ56=5,G56,0)</f>
        <v>0</v>
      </c>
      <c r="CA56" s="444">
        <v>1</v>
      </c>
      <c r="CB56" s="444">
        <v>1</v>
      </c>
    </row>
    <row r="57" spans="1:15" ht="12.75">
      <c r="A57" s="478"/>
      <c r="B57" s="477"/>
      <c r="C57" s="1621" t="s">
        <v>532</v>
      </c>
      <c r="D57" s="1589"/>
      <c r="E57" s="476">
        <v>10</v>
      </c>
      <c r="F57" s="475"/>
      <c r="G57" s="230"/>
      <c r="H57" s="474"/>
      <c r="I57" s="473"/>
      <c r="J57" s="569"/>
      <c r="K57" s="572"/>
      <c r="L57" s="436"/>
      <c r="M57" s="472" t="s">
        <v>532</v>
      </c>
      <c r="O57" s="444"/>
    </row>
    <row r="58" spans="1:15" ht="12.75">
      <c r="A58" s="478"/>
      <c r="B58" s="477"/>
      <c r="C58" s="1621" t="s">
        <v>533</v>
      </c>
      <c r="D58" s="1589"/>
      <c r="E58" s="476">
        <v>4.9</v>
      </c>
      <c r="F58" s="475"/>
      <c r="G58" s="230"/>
      <c r="H58" s="474"/>
      <c r="I58" s="473"/>
      <c r="J58" s="569"/>
      <c r="K58" s="572"/>
      <c r="L58" s="436"/>
      <c r="M58" s="472" t="s">
        <v>533</v>
      </c>
      <c r="O58" s="444"/>
    </row>
    <row r="59" spans="1:80" ht="12.75">
      <c r="A59" s="461">
        <v>20</v>
      </c>
      <c r="B59" s="460" t="s">
        <v>534</v>
      </c>
      <c r="C59" s="459" t="s">
        <v>535</v>
      </c>
      <c r="D59" s="458" t="s">
        <v>145</v>
      </c>
      <c r="E59" s="457">
        <v>14.9</v>
      </c>
      <c r="F59" s="457"/>
      <c r="G59" s="456">
        <f>E59*F59</f>
        <v>0</v>
      </c>
      <c r="H59" s="455">
        <v>0</v>
      </c>
      <c r="I59" s="454">
        <f>E59*H59</f>
        <v>0</v>
      </c>
      <c r="J59" s="570">
        <v>0</v>
      </c>
      <c r="K59" s="571">
        <f>E59*J59</f>
        <v>0</v>
      </c>
      <c r="L59" s="436"/>
      <c r="O59" s="444">
        <v>2</v>
      </c>
      <c r="AA59" s="434">
        <v>1</v>
      </c>
      <c r="AB59" s="434">
        <v>1</v>
      </c>
      <c r="AC59" s="434">
        <v>1</v>
      </c>
      <c r="AZ59" s="434">
        <v>1</v>
      </c>
      <c r="BA59" s="434">
        <f>IF(AZ59=1,G59,0)</f>
        <v>0</v>
      </c>
      <c r="BB59" s="434">
        <f>IF(AZ59=2,G59,0)</f>
        <v>0</v>
      </c>
      <c r="BC59" s="434">
        <f>IF(AZ59=3,G59,0)</f>
        <v>0</v>
      </c>
      <c r="BD59" s="434">
        <f>IF(AZ59=4,G59,0)</f>
        <v>0</v>
      </c>
      <c r="BE59" s="434">
        <f>IF(AZ59=5,G59,0)</f>
        <v>0</v>
      </c>
      <c r="CA59" s="444">
        <v>1</v>
      </c>
      <c r="CB59" s="444">
        <v>1</v>
      </c>
    </row>
    <row r="60" spans="1:80" ht="12.75">
      <c r="A60" s="461">
        <v>21</v>
      </c>
      <c r="B60" s="460" t="s">
        <v>536</v>
      </c>
      <c r="C60" s="459" t="s">
        <v>537</v>
      </c>
      <c r="D60" s="458" t="s">
        <v>196</v>
      </c>
      <c r="E60" s="457">
        <v>3</v>
      </c>
      <c r="F60" s="457"/>
      <c r="G60" s="456">
        <f>E60*F60</f>
        <v>0</v>
      </c>
      <c r="H60" s="455">
        <v>0.00242</v>
      </c>
      <c r="I60" s="454">
        <f>E60*H60</f>
        <v>0.007259999999999999</v>
      </c>
      <c r="J60" s="570">
        <v>0</v>
      </c>
      <c r="K60" s="571">
        <f>E60*J60</f>
        <v>0</v>
      </c>
      <c r="L60" s="436"/>
      <c r="O60" s="444">
        <v>2</v>
      </c>
      <c r="AA60" s="434">
        <v>1</v>
      </c>
      <c r="AB60" s="434">
        <v>1</v>
      </c>
      <c r="AC60" s="434">
        <v>1</v>
      </c>
      <c r="AZ60" s="434">
        <v>1</v>
      </c>
      <c r="BA60" s="434">
        <f>IF(AZ60=1,G60,0)</f>
        <v>0</v>
      </c>
      <c r="BB60" s="434">
        <f>IF(AZ60=2,G60,0)</f>
        <v>0</v>
      </c>
      <c r="BC60" s="434">
        <f>IF(AZ60=3,G60,0)</f>
        <v>0</v>
      </c>
      <c r="BD60" s="434">
        <f>IF(AZ60=4,G60,0)</f>
        <v>0</v>
      </c>
      <c r="BE60" s="434">
        <f>IF(AZ60=5,G60,0)</f>
        <v>0</v>
      </c>
      <c r="CA60" s="444">
        <v>1</v>
      </c>
      <c r="CB60" s="444">
        <v>1</v>
      </c>
    </row>
    <row r="61" spans="1:15" ht="12.75">
      <c r="A61" s="478"/>
      <c r="B61" s="477"/>
      <c r="C61" s="1621" t="s">
        <v>538</v>
      </c>
      <c r="D61" s="1589"/>
      <c r="E61" s="476">
        <v>1</v>
      </c>
      <c r="F61" s="475"/>
      <c r="G61" s="230"/>
      <c r="H61" s="474"/>
      <c r="I61" s="473"/>
      <c r="J61" s="569"/>
      <c r="K61" s="572"/>
      <c r="L61" s="436"/>
      <c r="M61" s="472" t="s">
        <v>538</v>
      </c>
      <c r="O61" s="444"/>
    </row>
    <row r="62" spans="1:15" ht="12.75">
      <c r="A62" s="478"/>
      <c r="B62" s="477"/>
      <c r="C62" s="1621" t="s">
        <v>539</v>
      </c>
      <c r="D62" s="1589"/>
      <c r="E62" s="476">
        <v>1</v>
      </c>
      <c r="F62" s="475"/>
      <c r="G62" s="230"/>
      <c r="H62" s="474"/>
      <c r="I62" s="473"/>
      <c r="J62" s="569"/>
      <c r="K62" s="572"/>
      <c r="L62" s="436"/>
      <c r="M62" s="472" t="s">
        <v>539</v>
      </c>
      <c r="O62" s="444"/>
    </row>
    <row r="63" spans="1:15" ht="12.75">
      <c r="A63" s="478"/>
      <c r="B63" s="477"/>
      <c r="C63" s="1621" t="s">
        <v>540</v>
      </c>
      <c r="D63" s="1589"/>
      <c r="E63" s="476">
        <v>1</v>
      </c>
      <c r="F63" s="475"/>
      <c r="G63" s="230"/>
      <c r="H63" s="474"/>
      <c r="I63" s="473"/>
      <c r="J63" s="569"/>
      <c r="K63" s="572"/>
      <c r="L63" s="436"/>
      <c r="M63" s="472" t="s">
        <v>540</v>
      </c>
      <c r="O63" s="444"/>
    </row>
    <row r="64" spans="1:80" ht="12.75">
      <c r="A64" s="461">
        <v>22</v>
      </c>
      <c r="B64" s="460" t="s">
        <v>541</v>
      </c>
      <c r="C64" s="459" t="s">
        <v>542</v>
      </c>
      <c r="D64" s="458" t="s">
        <v>154</v>
      </c>
      <c r="E64" s="457">
        <v>0.5</v>
      </c>
      <c r="F64" s="457"/>
      <c r="G64" s="456">
        <f>E64*F64</f>
        <v>0</v>
      </c>
      <c r="H64" s="455">
        <v>2.525</v>
      </c>
      <c r="I64" s="454">
        <f>E64*H64</f>
        <v>1.2625</v>
      </c>
      <c r="J64" s="570">
        <v>0</v>
      </c>
      <c r="K64" s="571">
        <f>E64*J64</f>
        <v>0</v>
      </c>
      <c r="L64" s="436"/>
      <c r="O64" s="444">
        <v>2</v>
      </c>
      <c r="AA64" s="434">
        <v>1</v>
      </c>
      <c r="AB64" s="434">
        <v>1</v>
      </c>
      <c r="AC64" s="434">
        <v>1</v>
      </c>
      <c r="AZ64" s="434">
        <v>1</v>
      </c>
      <c r="BA64" s="434">
        <f>IF(AZ64=1,G64,0)</f>
        <v>0</v>
      </c>
      <c r="BB64" s="434">
        <f>IF(AZ64=2,G64,0)</f>
        <v>0</v>
      </c>
      <c r="BC64" s="434">
        <f>IF(AZ64=3,G64,0)</f>
        <v>0</v>
      </c>
      <c r="BD64" s="434">
        <f>IF(AZ64=4,G64,0)</f>
        <v>0</v>
      </c>
      <c r="BE64" s="434">
        <f>IF(AZ64=5,G64,0)</f>
        <v>0</v>
      </c>
      <c r="CA64" s="444">
        <v>1</v>
      </c>
      <c r="CB64" s="444">
        <v>1</v>
      </c>
    </row>
    <row r="65" spans="1:15" ht="12.75">
      <c r="A65" s="478"/>
      <c r="B65" s="477"/>
      <c r="C65" s="1621" t="s">
        <v>543</v>
      </c>
      <c r="D65" s="1589"/>
      <c r="E65" s="476">
        <v>0.5</v>
      </c>
      <c r="F65" s="475"/>
      <c r="G65" s="230"/>
      <c r="H65" s="474"/>
      <c r="I65" s="473"/>
      <c r="J65" s="569"/>
      <c r="K65" s="572"/>
      <c r="L65" s="436"/>
      <c r="M65" s="472" t="s">
        <v>543</v>
      </c>
      <c r="O65" s="444"/>
    </row>
    <row r="66" spans="1:57" ht="12.75">
      <c r="A66" s="453"/>
      <c r="B66" s="452" t="s">
        <v>175</v>
      </c>
      <c r="C66" s="451" t="s">
        <v>187</v>
      </c>
      <c r="D66" s="450"/>
      <c r="E66" s="449"/>
      <c r="F66" s="448"/>
      <c r="G66" s="447">
        <f>SUM(G43:G65)</f>
        <v>0</v>
      </c>
      <c r="H66" s="446"/>
      <c r="I66" s="445">
        <f>SUM(I43:I65)</f>
        <v>68.617237844</v>
      </c>
      <c r="J66" s="568"/>
      <c r="K66" s="576">
        <f>SUM(K43:K65)</f>
        <v>0</v>
      </c>
      <c r="L66" s="436"/>
      <c r="O66" s="444">
        <v>4</v>
      </c>
      <c r="BA66" s="443">
        <f>SUM(BA43:BA65)</f>
        <v>0</v>
      </c>
      <c r="BB66" s="443">
        <f>SUM(BB43:BB65)</f>
        <v>0</v>
      </c>
      <c r="BC66" s="443">
        <f>SUM(BC43:BC65)</f>
        <v>0</v>
      </c>
      <c r="BD66" s="443">
        <f>SUM(BD43:BD65)</f>
        <v>0</v>
      </c>
      <c r="BE66" s="443">
        <f>SUM(BE43:BE65)</f>
        <v>0</v>
      </c>
    </row>
    <row r="67" spans="1:15" ht="12.75">
      <c r="A67" s="471" t="s">
        <v>140</v>
      </c>
      <c r="B67" s="470" t="s">
        <v>188</v>
      </c>
      <c r="C67" s="469" t="s">
        <v>189</v>
      </c>
      <c r="D67" s="468"/>
      <c r="E67" s="467"/>
      <c r="F67" s="467"/>
      <c r="G67" s="466"/>
      <c r="H67" s="465"/>
      <c r="I67" s="464"/>
      <c r="J67" s="568"/>
      <c r="K67" s="569"/>
      <c r="L67" s="436"/>
      <c r="O67" s="444">
        <v>1</v>
      </c>
    </row>
    <row r="68" spans="1:80" ht="20.4">
      <c r="A68" s="461">
        <v>23</v>
      </c>
      <c r="B68" s="460" t="s">
        <v>544</v>
      </c>
      <c r="C68" s="459" t="s">
        <v>545</v>
      </c>
      <c r="D68" s="458" t="s">
        <v>546</v>
      </c>
      <c r="E68" s="457">
        <v>64.355</v>
      </c>
      <c r="F68" s="457"/>
      <c r="G68" s="456">
        <f>E68*F68</f>
        <v>0</v>
      </c>
      <c r="H68" s="455">
        <v>0.16622</v>
      </c>
      <c r="I68" s="454">
        <f>E68*H68</f>
        <v>10.6970881</v>
      </c>
      <c r="J68" s="570">
        <v>0</v>
      </c>
      <c r="K68" s="571">
        <f>E68*J68</f>
        <v>0</v>
      </c>
      <c r="L68" s="436"/>
      <c r="O68" s="444">
        <v>2</v>
      </c>
      <c r="AA68" s="434">
        <v>1</v>
      </c>
      <c r="AB68" s="434">
        <v>1</v>
      </c>
      <c r="AC68" s="434">
        <v>1</v>
      </c>
      <c r="AZ68" s="434">
        <v>1</v>
      </c>
      <c r="BA68" s="434">
        <f>IF(AZ68=1,G68,0)</f>
        <v>0</v>
      </c>
      <c r="BB68" s="434">
        <f>IF(AZ68=2,G68,0)</f>
        <v>0</v>
      </c>
      <c r="BC68" s="434">
        <f>IF(AZ68=3,G68,0)</f>
        <v>0</v>
      </c>
      <c r="BD68" s="434">
        <f>IF(AZ68=4,G68,0)</f>
        <v>0</v>
      </c>
      <c r="BE68" s="434">
        <f>IF(AZ68=5,G68,0)</f>
        <v>0</v>
      </c>
      <c r="CA68" s="444">
        <v>1</v>
      </c>
      <c r="CB68" s="444">
        <v>1</v>
      </c>
    </row>
    <row r="69" spans="1:15" ht="12.75">
      <c r="A69" s="478"/>
      <c r="B69" s="477"/>
      <c r="C69" s="1621" t="s">
        <v>547</v>
      </c>
      <c r="D69" s="1589"/>
      <c r="E69" s="476">
        <v>85.25</v>
      </c>
      <c r="F69" s="475"/>
      <c r="G69" s="230"/>
      <c r="H69" s="474"/>
      <c r="I69" s="473"/>
      <c r="J69" s="569"/>
      <c r="K69" s="572"/>
      <c r="L69" s="436"/>
      <c r="M69" s="472" t="s">
        <v>547</v>
      </c>
      <c r="O69" s="444"/>
    </row>
    <row r="70" spans="1:15" ht="12.75">
      <c r="A70" s="478"/>
      <c r="B70" s="477"/>
      <c r="C70" s="1621" t="s">
        <v>548</v>
      </c>
      <c r="D70" s="1589"/>
      <c r="E70" s="476">
        <v>-10</v>
      </c>
      <c r="F70" s="475"/>
      <c r="G70" s="230"/>
      <c r="H70" s="474"/>
      <c r="I70" s="473"/>
      <c r="J70" s="569"/>
      <c r="K70" s="572"/>
      <c r="L70" s="436"/>
      <c r="M70" s="472" t="s">
        <v>548</v>
      </c>
      <c r="O70" s="444"/>
    </row>
    <row r="71" spans="1:15" ht="12.75">
      <c r="A71" s="478"/>
      <c r="B71" s="477"/>
      <c r="C71" s="1621" t="s">
        <v>549</v>
      </c>
      <c r="D71" s="1589"/>
      <c r="E71" s="476">
        <v>-1.8</v>
      </c>
      <c r="F71" s="475"/>
      <c r="G71" s="230"/>
      <c r="H71" s="474"/>
      <c r="I71" s="473"/>
      <c r="J71" s="569"/>
      <c r="K71" s="572"/>
      <c r="L71" s="436"/>
      <c r="M71" s="472" t="s">
        <v>549</v>
      </c>
      <c r="O71" s="444"/>
    </row>
    <row r="72" spans="1:15" ht="12.75">
      <c r="A72" s="478"/>
      <c r="B72" s="477"/>
      <c r="C72" s="1621" t="s">
        <v>550</v>
      </c>
      <c r="D72" s="1589"/>
      <c r="E72" s="476">
        <v>-9.095</v>
      </c>
      <c r="F72" s="475"/>
      <c r="G72" s="230"/>
      <c r="H72" s="474"/>
      <c r="I72" s="473"/>
      <c r="J72" s="569"/>
      <c r="K72" s="572"/>
      <c r="L72" s="436"/>
      <c r="M72" s="472" t="s">
        <v>550</v>
      </c>
      <c r="O72" s="444"/>
    </row>
    <row r="73" spans="1:80" ht="20.4">
      <c r="A73" s="461">
        <v>24</v>
      </c>
      <c r="B73" s="460" t="s">
        <v>551</v>
      </c>
      <c r="C73" s="459" t="s">
        <v>552</v>
      </c>
      <c r="D73" s="458" t="s">
        <v>196</v>
      </c>
      <c r="E73" s="457">
        <v>3</v>
      </c>
      <c r="F73" s="457"/>
      <c r="G73" s="456">
        <f>E73*F73</f>
        <v>0</v>
      </c>
      <c r="H73" s="455">
        <v>0.06935</v>
      </c>
      <c r="I73" s="454">
        <f>E73*H73</f>
        <v>0.20804999999999998</v>
      </c>
      <c r="J73" s="570">
        <v>0</v>
      </c>
      <c r="K73" s="571">
        <f>E73*J73</f>
        <v>0</v>
      </c>
      <c r="L73" s="436"/>
      <c r="O73" s="444">
        <v>2</v>
      </c>
      <c r="AA73" s="434">
        <v>1</v>
      </c>
      <c r="AB73" s="434">
        <v>1</v>
      </c>
      <c r="AC73" s="434">
        <v>1</v>
      </c>
      <c r="AZ73" s="434">
        <v>1</v>
      </c>
      <c r="BA73" s="434">
        <f>IF(AZ73=1,G73,0)</f>
        <v>0</v>
      </c>
      <c r="BB73" s="434">
        <f>IF(AZ73=2,G73,0)</f>
        <v>0</v>
      </c>
      <c r="BC73" s="434">
        <f>IF(AZ73=3,G73,0)</f>
        <v>0</v>
      </c>
      <c r="BD73" s="434">
        <f>IF(AZ73=4,G73,0)</f>
        <v>0</v>
      </c>
      <c r="BE73" s="434">
        <f>IF(AZ73=5,G73,0)</f>
        <v>0</v>
      </c>
      <c r="CA73" s="444">
        <v>1</v>
      </c>
      <c r="CB73" s="444">
        <v>1</v>
      </c>
    </row>
    <row r="74" spans="1:15" ht="12.75">
      <c r="A74" s="478"/>
      <c r="B74" s="477"/>
      <c r="C74" s="1621" t="s">
        <v>553</v>
      </c>
      <c r="D74" s="1589"/>
      <c r="E74" s="476">
        <v>3</v>
      </c>
      <c r="F74" s="475"/>
      <c r="G74" s="230"/>
      <c r="H74" s="474"/>
      <c r="I74" s="473"/>
      <c r="J74" s="569"/>
      <c r="K74" s="572"/>
      <c r="L74" s="436"/>
      <c r="M74" s="472" t="s">
        <v>553</v>
      </c>
      <c r="O74" s="444"/>
    </row>
    <row r="75" spans="1:80" ht="20.4">
      <c r="A75" s="461">
        <v>25</v>
      </c>
      <c r="B75" s="460" t="s">
        <v>554</v>
      </c>
      <c r="C75" s="459" t="s">
        <v>555</v>
      </c>
      <c r="D75" s="458" t="s">
        <v>196</v>
      </c>
      <c r="E75" s="457">
        <v>6</v>
      </c>
      <c r="F75" s="457"/>
      <c r="G75" s="456">
        <f>E75*F75</f>
        <v>0</v>
      </c>
      <c r="H75" s="455">
        <v>0.07945</v>
      </c>
      <c r="I75" s="454">
        <f>E75*H75</f>
        <v>0.4767</v>
      </c>
      <c r="J75" s="570">
        <v>0</v>
      </c>
      <c r="K75" s="571">
        <f>E75*J75</f>
        <v>0</v>
      </c>
      <c r="L75" s="436"/>
      <c r="O75" s="444">
        <v>2</v>
      </c>
      <c r="AA75" s="434">
        <v>1</v>
      </c>
      <c r="AB75" s="434">
        <v>1</v>
      </c>
      <c r="AC75" s="434">
        <v>1</v>
      </c>
      <c r="AZ75" s="434">
        <v>1</v>
      </c>
      <c r="BA75" s="434">
        <f>IF(AZ75=1,G75,0)</f>
        <v>0</v>
      </c>
      <c r="BB75" s="434">
        <f>IF(AZ75=2,G75,0)</f>
        <v>0</v>
      </c>
      <c r="BC75" s="434">
        <f>IF(AZ75=3,G75,0)</f>
        <v>0</v>
      </c>
      <c r="BD75" s="434">
        <f>IF(AZ75=4,G75,0)</f>
        <v>0</v>
      </c>
      <c r="BE75" s="434">
        <f>IF(AZ75=5,G75,0)</f>
        <v>0</v>
      </c>
      <c r="CA75" s="444">
        <v>1</v>
      </c>
      <c r="CB75" s="444">
        <v>1</v>
      </c>
    </row>
    <row r="76" spans="1:15" ht="12.75">
      <c r="A76" s="478"/>
      <c r="B76" s="477"/>
      <c r="C76" s="1621" t="s">
        <v>556</v>
      </c>
      <c r="D76" s="1589"/>
      <c r="E76" s="476">
        <v>6</v>
      </c>
      <c r="F76" s="475"/>
      <c r="G76" s="230"/>
      <c r="H76" s="474"/>
      <c r="I76" s="473"/>
      <c r="J76" s="569"/>
      <c r="K76" s="572"/>
      <c r="L76" s="436"/>
      <c r="M76" s="472" t="s">
        <v>556</v>
      </c>
      <c r="O76" s="444"/>
    </row>
    <row r="77" spans="1:80" ht="20.4">
      <c r="A77" s="461">
        <v>26</v>
      </c>
      <c r="B77" s="460" t="s">
        <v>557</v>
      </c>
      <c r="C77" s="459" t="s">
        <v>558</v>
      </c>
      <c r="D77" s="458" t="s">
        <v>145</v>
      </c>
      <c r="E77" s="457">
        <v>4.945</v>
      </c>
      <c r="F77" s="457"/>
      <c r="G77" s="456">
        <f>E77*F77</f>
        <v>0</v>
      </c>
      <c r="H77" s="455">
        <v>0.0706</v>
      </c>
      <c r="I77" s="454">
        <f>E77*H77</f>
        <v>0.349117</v>
      </c>
      <c r="J77" s="570">
        <v>0</v>
      </c>
      <c r="K77" s="571">
        <f>E77*J77</f>
        <v>0</v>
      </c>
      <c r="L77" s="436"/>
      <c r="O77" s="444">
        <v>2</v>
      </c>
      <c r="AA77" s="434">
        <v>1</v>
      </c>
      <c r="AB77" s="434">
        <v>1</v>
      </c>
      <c r="AC77" s="434">
        <v>1</v>
      </c>
      <c r="AZ77" s="434">
        <v>1</v>
      </c>
      <c r="BA77" s="434">
        <f>IF(AZ77=1,G77,0)</f>
        <v>0</v>
      </c>
      <c r="BB77" s="434">
        <f>IF(AZ77=2,G77,0)</f>
        <v>0</v>
      </c>
      <c r="BC77" s="434">
        <f>IF(AZ77=3,G77,0)</f>
        <v>0</v>
      </c>
      <c r="BD77" s="434">
        <f>IF(AZ77=4,G77,0)</f>
        <v>0</v>
      </c>
      <c r="BE77" s="434">
        <f>IF(AZ77=5,G77,0)</f>
        <v>0</v>
      </c>
      <c r="CA77" s="444">
        <v>1</v>
      </c>
      <c r="CB77" s="444">
        <v>1</v>
      </c>
    </row>
    <row r="78" spans="1:15" ht="12.75">
      <c r="A78" s="478"/>
      <c r="B78" s="477"/>
      <c r="C78" s="1621" t="s">
        <v>559</v>
      </c>
      <c r="D78" s="1589"/>
      <c r="E78" s="476">
        <v>4.945</v>
      </c>
      <c r="F78" s="475"/>
      <c r="G78" s="230"/>
      <c r="H78" s="474"/>
      <c r="I78" s="473"/>
      <c r="J78" s="569"/>
      <c r="K78" s="572"/>
      <c r="L78" s="436"/>
      <c r="M78" s="472" t="s">
        <v>559</v>
      </c>
      <c r="O78" s="444"/>
    </row>
    <row r="79" spans="1:80" ht="20.4">
      <c r="A79" s="461">
        <v>27</v>
      </c>
      <c r="B79" s="460" t="s">
        <v>560</v>
      </c>
      <c r="C79" s="459" t="s">
        <v>561</v>
      </c>
      <c r="D79" s="458" t="s">
        <v>145</v>
      </c>
      <c r="E79" s="457">
        <v>28.75</v>
      </c>
      <c r="F79" s="457"/>
      <c r="G79" s="456">
        <f>E79*F79</f>
        <v>0</v>
      </c>
      <c r="H79" s="455">
        <v>0.1055</v>
      </c>
      <c r="I79" s="454">
        <f>E79*H79</f>
        <v>3.033125</v>
      </c>
      <c r="J79" s="570">
        <v>0</v>
      </c>
      <c r="K79" s="571">
        <f>E79*J79</f>
        <v>0</v>
      </c>
      <c r="L79" s="436"/>
      <c r="O79" s="444">
        <v>2</v>
      </c>
      <c r="AA79" s="434">
        <v>1</v>
      </c>
      <c r="AB79" s="434">
        <v>1</v>
      </c>
      <c r="AC79" s="434">
        <v>1</v>
      </c>
      <c r="AZ79" s="434">
        <v>1</v>
      </c>
      <c r="BA79" s="434">
        <f>IF(AZ79=1,G79,0)</f>
        <v>0</v>
      </c>
      <c r="BB79" s="434">
        <f>IF(AZ79=2,G79,0)</f>
        <v>0</v>
      </c>
      <c r="BC79" s="434">
        <f>IF(AZ79=3,G79,0)</f>
        <v>0</v>
      </c>
      <c r="BD79" s="434">
        <f>IF(AZ79=4,G79,0)</f>
        <v>0</v>
      </c>
      <c r="BE79" s="434">
        <f>IF(AZ79=5,G79,0)</f>
        <v>0</v>
      </c>
      <c r="CA79" s="444">
        <v>1</v>
      </c>
      <c r="CB79" s="444">
        <v>1</v>
      </c>
    </row>
    <row r="80" spans="1:15" ht="12.75">
      <c r="A80" s="478"/>
      <c r="B80" s="477"/>
      <c r="C80" s="1621" t="s">
        <v>562</v>
      </c>
      <c r="D80" s="1589"/>
      <c r="E80" s="476">
        <v>28.75</v>
      </c>
      <c r="F80" s="475"/>
      <c r="G80" s="230"/>
      <c r="H80" s="474"/>
      <c r="I80" s="473"/>
      <c r="J80" s="569"/>
      <c r="K80" s="572"/>
      <c r="L80" s="436"/>
      <c r="M80" s="472" t="s">
        <v>562</v>
      </c>
      <c r="O80" s="444"/>
    </row>
    <row r="81" spans="1:57" ht="12.75">
      <c r="A81" s="453"/>
      <c r="B81" s="452" t="s">
        <v>175</v>
      </c>
      <c r="C81" s="451" t="s">
        <v>201</v>
      </c>
      <c r="D81" s="450"/>
      <c r="E81" s="449"/>
      <c r="F81" s="448"/>
      <c r="G81" s="447">
        <f>SUM(G67:G80)</f>
        <v>0</v>
      </c>
      <c r="H81" s="446"/>
      <c r="I81" s="445">
        <f>SUM(I67:I80)</f>
        <v>14.7640801</v>
      </c>
      <c r="J81" s="568"/>
      <c r="K81" s="576">
        <f>SUM(K67:K80)</f>
        <v>0</v>
      </c>
      <c r="L81" s="436"/>
      <c r="O81" s="444">
        <v>4</v>
      </c>
      <c r="BA81" s="443">
        <f>SUM(BA67:BA80)</f>
        <v>0</v>
      </c>
      <c r="BB81" s="443">
        <f>SUM(BB67:BB80)</f>
        <v>0</v>
      </c>
      <c r="BC81" s="443">
        <f>SUM(BC67:BC80)</f>
        <v>0</v>
      </c>
      <c r="BD81" s="443">
        <f>SUM(BD67:BD80)</f>
        <v>0</v>
      </c>
      <c r="BE81" s="443">
        <f>SUM(BE67:BE80)</f>
        <v>0</v>
      </c>
    </row>
    <row r="82" spans="1:15" ht="12.75">
      <c r="A82" s="471" t="s">
        <v>140</v>
      </c>
      <c r="B82" s="470" t="s">
        <v>463</v>
      </c>
      <c r="C82" s="469" t="s">
        <v>563</v>
      </c>
      <c r="D82" s="468"/>
      <c r="E82" s="467"/>
      <c r="F82" s="467"/>
      <c r="G82" s="466"/>
      <c r="H82" s="465"/>
      <c r="I82" s="464"/>
      <c r="J82" s="568"/>
      <c r="K82" s="569"/>
      <c r="L82" s="436"/>
      <c r="O82" s="444">
        <v>1</v>
      </c>
    </row>
    <row r="83" spans="1:80" ht="12.75">
      <c r="A83" s="461">
        <v>28</v>
      </c>
      <c r="B83" s="460" t="s">
        <v>564</v>
      </c>
      <c r="C83" s="459" t="s">
        <v>565</v>
      </c>
      <c r="D83" s="458" t="s">
        <v>145</v>
      </c>
      <c r="E83" s="457">
        <v>11.18</v>
      </c>
      <c r="F83" s="457"/>
      <c r="G83" s="456">
        <f>E83*F83</f>
        <v>0</v>
      </c>
      <c r="H83" s="455">
        <v>0.0112</v>
      </c>
      <c r="I83" s="454">
        <f>E83*H83</f>
        <v>0.125216</v>
      </c>
      <c r="J83" s="570">
        <v>0</v>
      </c>
      <c r="K83" s="571">
        <f>E83*J83</f>
        <v>0</v>
      </c>
      <c r="L83" s="436"/>
      <c r="O83" s="444">
        <v>2</v>
      </c>
      <c r="AA83" s="434">
        <v>1</v>
      </c>
      <c r="AB83" s="434">
        <v>1</v>
      </c>
      <c r="AC83" s="434">
        <v>1</v>
      </c>
      <c r="AZ83" s="434">
        <v>1</v>
      </c>
      <c r="BA83" s="434">
        <f>IF(AZ83=1,G83,0)</f>
        <v>0</v>
      </c>
      <c r="BB83" s="434">
        <f>IF(AZ83=2,G83,0)</f>
        <v>0</v>
      </c>
      <c r="BC83" s="434">
        <f>IF(AZ83=3,G83,0)</f>
        <v>0</v>
      </c>
      <c r="BD83" s="434">
        <f>IF(AZ83=4,G83,0)</f>
        <v>0</v>
      </c>
      <c r="BE83" s="434">
        <f>IF(AZ83=5,G83,0)</f>
        <v>0</v>
      </c>
      <c r="CA83" s="444">
        <v>1</v>
      </c>
      <c r="CB83" s="444">
        <v>1</v>
      </c>
    </row>
    <row r="84" spans="1:15" ht="12.75">
      <c r="A84" s="478"/>
      <c r="B84" s="477"/>
      <c r="C84" s="1621" t="s">
        <v>566</v>
      </c>
      <c r="D84" s="1589"/>
      <c r="E84" s="476">
        <v>0</v>
      </c>
      <c r="F84" s="475"/>
      <c r="G84" s="230"/>
      <c r="H84" s="474"/>
      <c r="I84" s="473"/>
      <c r="J84" s="569"/>
      <c r="K84" s="572"/>
      <c r="L84" s="436"/>
      <c r="M84" s="472" t="s">
        <v>566</v>
      </c>
      <c r="O84" s="444"/>
    </row>
    <row r="85" spans="1:15" ht="12.75">
      <c r="A85" s="478"/>
      <c r="B85" s="477"/>
      <c r="C85" s="1621" t="s">
        <v>567</v>
      </c>
      <c r="D85" s="1589"/>
      <c r="E85" s="476">
        <v>11.18</v>
      </c>
      <c r="F85" s="475"/>
      <c r="G85" s="230"/>
      <c r="H85" s="474"/>
      <c r="I85" s="473"/>
      <c r="J85" s="569"/>
      <c r="K85" s="572"/>
      <c r="L85" s="436"/>
      <c r="M85" s="472" t="s">
        <v>567</v>
      </c>
      <c r="O85" s="444"/>
    </row>
    <row r="86" spans="1:80" ht="12.75">
      <c r="A86" s="461">
        <v>29</v>
      </c>
      <c r="B86" s="460" t="s">
        <v>568</v>
      </c>
      <c r="C86" s="459" t="s">
        <v>569</v>
      </c>
      <c r="D86" s="458" t="s">
        <v>145</v>
      </c>
      <c r="E86" s="457">
        <v>33.3725</v>
      </c>
      <c r="F86" s="457"/>
      <c r="G86" s="456">
        <f>E86*F86</f>
        <v>0</v>
      </c>
      <c r="H86" s="455">
        <v>0.01131</v>
      </c>
      <c r="I86" s="454">
        <f>E86*H86</f>
        <v>0.37744297500000007</v>
      </c>
      <c r="J86" s="570">
        <v>0</v>
      </c>
      <c r="K86" s="571">
        <f>E86*J86</f>
        <v>0</v>
      </c>
      <c r="L86" s="436"/>
      <c r="O86" s="444">
        <v>2</v>
      </c>
      <c r="AA86" s="434">
        <v>1</v>
      </c>
      <c r="AB86" s="434">
        <v>1</v>
      </c>
      <c r="AC86" s="434">
        <v>1</v>
      </c>
      <c r="AZ86" s="434">
        <v>1</v>
      </c>
      <c r="BA86" s="434">
        <f>IF(AZ86=1,G86,0)</f>
        <v>0</v>
      </c>
      <c r="BB86" s="434">
        <f>IF(AZ86=2,G86,0)</f>
        <v>0</v>
      </c>
      <c r="BC86" s="434">
        <f>IF(AZ86=3,G86,0)</f>
        <v>0</v>
      </c>
      <c r="BD86" s="434">
        <f>IF(AZ86=4,G86,0)</f>
        <v>0</v>
      </c>
      <c r="BE86" s="434">
        <f>IF(AZ86=5,G86,0)</f>
        <v>0</v>
      </c>
      <c r="CA86" s="444">
        <v>1</v>
      </c>
      <c r="CB86" s="444">
        <v>1</v>
      </c>
    </row>
    <row r="87" spans="1:15" ht="12.75">
      <c r="A87" s="478"/>
      <c r="B87" s="477"/>
      <c r="C87" s="1621" t="s">
        <v>566</v>
      </c>
      <c r="D87" s="1589"/>
      <c r="E87" s="476">
        <v>0</v>
      </c>
      <c r="F87" s="475"/>
      <c r="G87" s="230"/>
      <c r="H87" s="474"/>
      <c r="I87" s="473"/>
      <c r="J87" s="569"/>
      <c r="K87" s="572"/>
      <c r="L87" s="436"/>
      <c r="M87" s="472" t="s">
        <v>566</v>
      </c>
      <c r="O87" s="444"/>
    </row>
    <row r="88" spans="1:15" ht="12.75">
      <c r="A88" s="478"/>
      <c r="B88" s="477"/>
      <c r="C88" s="1621" t="s">
        <v>570</v>
      </c>
      <c r="D88" s="1589"/>
      <c r="E88" s="476">
        <v>19.72</v>
      </c>
      <c r="F88" s="475"/>
      <c r="G88" s="230"/>
      <c r="H88" s="474"/>
      <c r="I88" s="473"/>
      <c r="J88" s="569"/>
      <c r="K88" s="572"/>
      <c r="L88" s="436"/>
      <c r="M88" s="472" t="s">
        <v>570</v>
      </c>
      <c r="O88" s="444"/>
    </row>
    <row r="89" spans="1:15" ht="12.75">
      <c r="A89" s="478"/>
      <c r="B89" s="477"/>
      <c r="C89" s="1621" t="s">
        <v>571</v>
      </c>
      <c r="D89" s="1589"/>
      <c r="E89" s="476">
        <v>3.9775</v>
      </c>
      <c r="F89" s="475"/>
      <c r="G89" s="230"/>
      <c r="H89" s="474"/>
      <c r="I89" s="473"/>
      <c r="J89" s="569"/>
      <c r="K89" s="572"/>
      <c r="L89" s="436"/>
      <c r="M89" s="472" t="s">
        <v>571</v>
      </c>
      <c r="O89" s="444"/>
    </row>
    <row r="90" spans="1:15" ht="12.75">
      <c r="A90" s="478"/>
      <c r="B90" s="477"/>
      <c r="C90" s="1621" t="s">
        <v>572</v>
      </c>
      <c r="D90" s="1589"/>
      <c r="E90" s="476">
        <v>2.15</v>
      </c>
      <c r="F90" s="475"/>
      <c r="G90" s="230"/>
      <c r="H90" s="474"/>
      <c r="I90" s="473"/>
      <c r="J90" s="569"/>
      <c r="K90" s="572"/>
      <c r="L90" s="436"/>
      <c r="M90" s="472" t="s">
        <v>572</v>
      </c>
      <c r="O90" s="444"/>
    </row>
    <row r="91" spans="1:15" ht="12.75">
      <c r="A91" s="478"/>
      <c r="B91" s="477"/>
      <c r="C91" s="1621" t="s">
        <v>573</v>
      </c>
      <c r="D91" s="1589"/>
      <c r="E91" s="476">
        <v>3.7625</v>
      </c>
      <c r="F91" s="475"/>
      <c r="G91" s="230"/>
      <c r="H91" s="474"/>
      <c r="I91" s="473"/>
      <c r="J91" s="569"/>
      <c r="K91" s="572"/>
      <c r="L91" s="436"/>
      <c r="M91" s="472" t="s">
        <v>573</v>
      </c>
      <c r="O91" s="444"/>
    </row>
    <row r="92" spans="1:15" ht="12.75">
      <c r="A92" s="478"/>
      <c r="B92" s="477"/>
      <c r="C92" s="1621" t="s">
        <v>574</v>
      </c>
      <c r="D92" s="1589"/>
      <c r="E92" s="476">
        <v>3.7625</v>
      </c>
      <c r="F92" s="475"/>
      <c r="G92" s="230"/>
      <c r="H92" s="474"/>
      <c r="I92" s="473"/>
      <c r="J92" s="569"/>
      <c r="K92" s="572"/>
      <c r="L92" s="436"/>
      <c r="M92" s="472" t="s">
        <v>574</v>
      </c>
      <c r="O92" s="444"/>
    </row>
    <row r="93" spans="1:80" ht="12.75">
      <c r="A93" s="461">
        <v>30</v>
      </c>
      <c r="B93" s="460" t="s">
        <v>575</v>
      </c>
      <c r="C93" s="459" t="s">
        <v>576</v>
      </c>
      <c r="D93" s="458" t="s">
        <v>196</v>
      </c>
      <c r="E93" s="457">
        <v>1</v>
      </c>
      <c r="F93" s="457"/>
      <c r="G93" s="456">
        <f>E93*F93</f>
        <v>0</v>
      </c>
      <c r="H93" s="455">
        <v>0</v>
      </c>
      <c r="I93" s="454">
        <f>E93*H93</f>
        <v>0</v>
      </c>
      <c r="J93" s="570">
        <v>0</v>
      </c>
      <c r="K93" s="571">
        <f>E93*J93</f>
        <v>0</v>
      </c>
      <c r="L93" s="436"/>
      <c r="O93" s="444">
        <v>2</v>
      </c>
      <c r="AA93" s="434">
        <v>1</v>
      </c>
      <c r="AB93" s="434">
        <v>0</v>
      </c>
      <c r="AC93" s="434">
        <v>0</v>
      </c>
      <c r="AZ93" s="434">
        <v>1</v>
      </c>
      <c r="BA93" s="434">
        <f>IF(AZ93=1,G93,0)</f>
        <v>0</v>
      </c>
      <c r="BB93" s="434">
        <f>IF(AZ93=2,G93,0)</f>
        <v>0</v>
      </c>
      <c r="BC93" s="434">
        <f>IF(AZ93=3,G93,0)</f>
        <v>0</v>
      </c>
      <c r="BD93" s="434">
        <f>IF(AZ93=4,G93,0)</f>
        <v>0</v>
      </c>
      <c r="BE93" s="434">
        <f>IF(AZ93=5,G93,0)</f>
        <v>0</v>
      </c>
      <c r="CA93" s="444">
        <v>1</v>
      </c>
      <c r="CB93" s="444">
        <v>0</v>
      </c>
    </row>
    <row r="94" spans="1:15" ht="12.75">
      <c r="A94" s="478"/>
      <c r="B94" s="477"/>
      <c r="C94" s="1621" t="s">
        <v>577</v>
      </c>
      <c r="D94" s="1589"/>
      <c r="E94" s="476">
        <v>1</v>
      </c>
      <c r="F94" s="475"/>
      <c r="G94" s="230"/>
      <c r="H94" s="474"/>
      <c r="I94" s="473"/>
      <c r="J94" s="569"/>
      <c r="K94" s="572"/>
      <c r="L94" s="436"/>
      <c r="M94" s="472" t="s">
        <v>577</v>
      </c>
      <c r="O94" s="444"/>
    </row>
    <row r="95" spans="1:80" ht="12.75">
      <c r="A95" s="461">
        <v>31</v>
      </c>
      <c r="B95" s="460" t="s">
        <v>578</v>
      </c>
      <c r="C95" s="459" t="s">
        <v>579</v>
      </c>
      <c r="D95" s="458" t="s">
        <v>154</v>
      </c>
      <c r="E95" s="457">
        <v>2.415</v>
      </c>
      <c r="F95" s="457"/>
      <c r="G95" s="456">
        <f>E95*F95</f>
        <v>0</v>
      </c>
      <c r="H95" s="455">
        <v>2.52517</v>
      </c>
      <c r="I95" s="454">
        <f>E95*H95</f>
        <v>6.098285550000001</v>
      </c>
      <c r="J95" s="570">
        <v>0</v>
      </c>
      <c r="K95" s="571">
        <f>E95*J95</f>
        <v>0</v>
      </c>
      <c r="L95" s="436"/>
      <c r="O95" s="444">
        <v>2</v>
      </c>
      <c r="AA95" s="434">
        <v>1</v>
      </c>
      <c r="AB95" s="434">
        <v>1</v>
      </c>
      <c r="AC95" s="434">
        <v>1</v>
      </c>
      <c r="AZ95" s="434">
        <v>1</v>
      </c>
      <c r="BA95" s="434">
        <f>IF(AZ95=1,G95,0)</f>
        <v>0</v>
      </c>
      <c r="BB95" s="434">
        <f>IF(AZ95=2,G95,0)</f>
        <v>0</v>
      </c>
      <c r="BC95" s="434">
        <f>IF(AZ95=3,G95,0)</f>
        <v>0</v>
      </c>
      <c r="BD95" s="434">
        <f>IF(AZ95=4,G95,0)</f>
        <v>0</v>
      </c>
      <c r="BE95" s="434">
        <f>IF(AZ95=5,G95,0)</f>
        <v>0</v>
      </c>
      <c r="CA95" s="444">
        <v>1</v>
      </c>
      <c r="CB95" s="444">
        <v>1</v>
      </c>
    </row>
    <row r="96" spans="1:15" ht="12.75">
      <c r="A96" s="478"/>
      <c r="B96" s="477"/>
      <c r="C96" s="1621" t="s">
        <v>580</v>
      </c>
      <c r="D96" s="1589"/>
      <c r="E96" s="476">
        <v>2.415</v>
      </c>
      <c r="F96" s="475"/>
      <c r="G96" s="230"/>
      <c r="H96" s="474"/>
      <c r="I96" s="473"/>
      <c r="J96" s="569"/>
      <c r="K96" s="572"/>
      <c r="L96" s="436"/>
      <c r="M96" s="472" t="s">
        <v>580</v>
      </c>
      <c r="O96" s="444"/>
    </row>
    <row r="97" spans="1:80" ht="12.75">
      <c r="A97" s="461">
        <v>32</v>
      </c>
      <c r="B97" s="460" t="s">
        <v>581</v>
      </c>
      <c r="C97" s="459" t="s">
        <v>582</v>
      </c>
      <c r="D97" s="458" t="s">
        <v>145</v>
      </c>
      <c r="E97" s="457">
        <v>32.5</v>
      </c>
      <c r="F97" s="457"/>
      <c r="G97" s="456">
        <f>E97*F97</f>
        <v>0</v>
      </c>
      <c r="H97" s="455">
        <v>0.00782</v>
      </c>
      <c r="I97" s="454">
        <f>E97*H97</f>
        <v>0.25415000000000004</v>
      </c>
      <c r="J97" s="570">
        <v>0</v>
      </c>
      <c r="K97" s="571">
        <f>E97*J97</f>
        <v>0</v>
      </c>
      <c r="L97" s="436"/>
      <c r="O97" s="444">
        <v>2</v>
      </c>
      <c r="AA97" s="434">
        <v>1</v>
      </c>
      <c r="AB97" s="434">
        <v>1</v>
      </c>
      <c r="AC97" s="434">
        <v>1</v>
      </c>
      <c r="AZ97" s="434">
        <v>1</v>
      </c>
      <c r="BA97" s="434">
        <f>IF(AZ97=1,G97,0)</f>
        <v>0</v>
      </c>
      <c r="BB97" s="434">
        <f>IF(AZ97=2,G97,0)</f>
        <v>0</v>
      </c>
      <c r="BC97" s="434">
        <f>IF(AZ97=3,G97,0)</f>
        <v>0</v>
      </c>
      <c r="BD97" s="434">
        <f>IF(AZ97=4,G97,0)</f>
        <v>0</v>
      </c>
      <c r="BE97" s="434">
        <f>IF(AZ97=5,G97,0)</f>
        <v>0</v>
      </c>
      <c r="CA97" s="444">
        <v>1</v>
      </c>
      <c r="CB97" s="444">
        <v>1</v>
      </c>
    </row>
    <row r="98" spans="1:15" ht="12.75">
      <c r="A98" s="478"/>
      <c r="B98" s="477"/>
      <c r="C98" s="1621" t="s">
        <v>583</v>
      </c>
      <c r="D98" s="1589"/>
      <c r="E98" s="476">
        <v>16.1</v>
      </c>
      <c r="F98" s="475"/>
      <c r="G98" s="230"/>
      <c r="H98" s="474"/>
      <c r="I98" s="473"/>
      <c r="J98" s="569"/>
      <c r="K98" s="572"/>
      <c r="L98" s="436"/>
      <c r="M98" s="472" t="s">
        <v>583</v>
      </c>
      <c r="O98" s="444"/>
    </row>
    <row r="99" spans="1:15" ht="12.75">
      <c r="A99" s="478"/>
      <c r="B99" s="477"/>
      <c r="C99" s="1621" t="s">
        <v>584</v>
      </c>
      <c r="D99" s="1589"/>
      <c r="E99" s="476">
        <v>14.4</v>
      </c>
      <c r="F99" s="475"/>
      <c r="G99" s="230"/>
      <c r="H99" s="474"/>
      <c r="I99" s="473"/>
      <c r="J99" s="569"/>
      <c r="K99" s="572"/>
      <c r="L99" s="436"/>
      <c r="M99" s="472" t="s">
        <v>584</v>
      </c>
      <c r="O99" s="444"/>
    </row>
    <row r="100" spans="1:15" ht="12.75">
      <c r="A100" s="478"/>
      <c r="B100" s="477"/>
      <c r="C100" s="1621" t="s">
        <v>585</v>
      </c>
      <c r="D100" s="1589"/>
      <c r="E100" s="476">
        <v>2</v>
      </c>
      <c r="F100" s="475"/>
      <c r="G100" s="230"/>
      <c r="H100" s="474"/>
      <c r="I100" s="473"/>
      <c r="J100" s="569"/>
      <c r="K100" s="572"/>
      <c r="L100" s="436"/>
      <c r="M100" s="472" t="s">
        <v>585</v>
      </c>
      <c r="O100" s="444"/>
    </row>
    <row r="101" spans="1:80" ht="12.75">
      <c r="A101" s="461">
        <v>33</v>
      </c>
      <c r="B101" s="460" t="s">
        <v>586</v>
      </c>
      <c r="C101" s="459" t="s">
        <v>587</v>
      </c>
      <c r="D101" s="458" t="s">
        <v>145</v>
      </c>
      <c r="E101" s="457">
        <v>32.5</v>
      </c>
      <c r="F101" s="457"/>
      <c r="G101" s="456">
        <f>E101*F101</f>
        <v>0</v>
      </c>
      <c r="H101" s="455">
        <v>0</v>
      </c>
      <c r="I101" s="454">
        <f>E101*H101</f>
        <v>0</v>
      </c>
      <c r="J101" s="570">
        <v>0</v>
      </c>
      <c r="K101" s="571">
        <f>E101*J101</f>
        <v>0</v>
      </c>
      <c r="L101" s="436"/>
      <c r="O101" s="444">
        <v>2</v>
      </c>
      <c r="AA101" s="434">
        <v>1</v>
      </c>
      <c r="AB101" s="434">
        <v>1</v>
      </c>
      <c r="AC101" s="434">
        <v>1</v>
      </c>
      <c r="AZ101" s="434">
        <v>1</v>
      </c>
      <c r="BA101" s="434">
        <f>IF(AZ101=1,G101,0)</f>
        <v>0</v>
      </c>
      <c r="BB101" s="434">
        <f>IF(AZ101=2,G101,0)</f>
        <v>0</v>
      </c>
      <c r="BC101" s="434">
        <f>IF(AZ101=3,G101,0)</f>
        <v>0</v>
      </c>
      <c r="BD101" s="434">
        <f>IF(AZ101=4,G101,0)</f>
        <v>0</v>
      </c>
      <c r="BE101" s="434">
        <f>IF(AZ101=5,G101,0)</f>
        <v>0</v>
      </c>
      <c r="CA101" s="444">
        <v>1</v>
      </c>
      <c r="CB101" s="444">
        <v>1</v>
      </c>
    </row>
    <row r="102" spans="1:80" ht="12.75">
      <c r="A102" s="461">
        <v>34</v>
      </c>
      <c r="B102" s="460" t="s">
        <v>588</v>
      </c>
      <c r="C102" s="459" t="s">
        <v>589</v>
      </c>
      <c r="D102" s="458" t="s">
        <v>166</v>
      </c>
      <c r="E102" s="457">
        <v>0.065</v>
      </c>
      <c r="F102" s="457"/>
      <c r="G102" s="456">
        <f>E102*F102</f>
        <v>0</v>
      </c>
      <c r="H102" s="455">
        <v>1.01665</v>
      </c>
      <c r="I102" s="454">
        <f>E102*H102</f>
        <v>0.06608225000000001</v>
      </c>
      <c r="J102" s="570">
        <v>0</v>
      </c>
      <c r="K102" s="571">
        <f>E102*J102</f>
        <v>0</v>
      </c>
      <c r="L102" s="436"/>
      <c r="O102" s="444">
        <v>2</v>
      </c>
      <c r="AA102" s="434">
        <v>1</v>
      </c>
      <c r="AB102" s="434">
        <v>1</v>
      </c>
      <c r="AC102" s="434">
        <v>1</v>
      </c>
      <c r="AZ102" s="434">
        <v>1</v>
      </c>
      <c r="BA102" s="434">
        <f>IF(AZ102=1,G102,0)</f>
        <v>0</v>
      </c>
      <c r="BB102" s="434">
        <f>IF(AZ102=2,G102,0)</f>
        <v>0</v>
      </c>
      <c r="BC102" s="434">
        <f>IF(AZ102=3,G102,0)</f>
        <v>0</v>
      </c>
      <c r="BD102" s="434">
        <f>IF(AZ102=4,G102,0)</f>
        <v>0</v>
      </c>
      <c r="BE102" s="434">
        <f>IF(AZ102=5,G102,0)</f>
        <v>0</v>
      </c>
      <c r="CA102" s="444">
        <v>1</v>
      </c>
      <c r="CB102" s="444">
        <v>1</v>
      </c>
    </row>
    <row r="103" spans="1:80" ht="12.75">
      <c r="A103" s="461">
        <v>35</v>
      </c>
      <c r="B103" s="460" t="s">
        <v>590</v>
      </c>
      <c r="C103" s="459" t="s">
        <v>591</v>
      </c>
      <c r="D103" s="458" t="s">
        <v>196</v>
      </c>
      <c r="E103" s="457">
        <v>1</v>
      </c>
      <c r="F103" s="457"/>
      <c r="G103" s="456">
        <f>E103*F103</f>
        <v>0</v>
      </c>
      <c r="H103" s="455">
        <v>0.02125</v>
      </c>
      <c r="I103" s="454">
        <f>E103*H103</f>
        <v>0.02125</v>
      </c>
      <c r="J103" s="570">
        <v>0</v>
      </c>
      <c r="K103" s="571">
        <f>E103*J103</f>
        <v>0</v>
      </c>
      <c r="L103" s="436"/>
      <c r="O103" s="444">
        <v>2</v>
      </c>
      <c r="AA103" s="434">
        <v>1</v>
      </c>
      <c r="AB103" s="434">
        <v>0</v>
      </c>
      <c r="AC103" s="434">
        <v>0</v>
      </c>
      <c r="AZ103" s="434">
        <v>1</v>
      </c>
      <c r="BA103" s="434">
        <f>IF(AZ103=1,G103,0)</f>
        <v>0</v>
      </c>
      <c r="BB103" s="434">
        <f>IF(AZ103=2,G103,0)</f>
        <v>0</v>
      </c>
      <c r="BC103" s="434">
        <f>IF(AZ103=3,G103,0)</f>
        <v>0</v>
      </c>
      <c r="BD103" s="434">
        <f>IF(AZ103=4,G103,0)</f>
        <v>0</v>
      </c>
      <c r="BE103" s="434">
        <f>IF(AZ103=5,G103,0)</f>
        <v>0</v>
      </c>
      <c r="CA103" s="444">
        <v>1</v>
      </c>
      <c r="CB103" s="444">
        <v>0</v>
      </c>
    </row>
    <row r="104" spans="1:15" ht="12.75">
      <c r="A104" s="478"/>
      <c r="B104" s="477"/>
      <c r="C104" s="1621" t="s">
        <v>592</v>
      </c>
      <c r="D104" s="1589"/>
      <c r="E104" s="476">
        <v>1</v>
      </c>
      <c r="F104" s="475"/>
      <c r="G104" s="230"/>
      <c r="H104" s="474"/>
      <c r="I104" s="473"/>
      <c r="J104" s="569"/>
      <c r="K104" s="572"/>
      <c r="L104" s="436"/>
      <c r="M104" s="472" t="s">
        <v>592</v>
      </c>
      <c r="O104" s="444"/>
    </row>
    <row r="105" spans="1:57" ht="12.75">
      <c r="A105" s="453"/>
      <c r="B105" s="452" t="s">
        <v>175</v>
      </c>
      <c r="C105" s="451" t="s">
        <v>593</v>
      </c>
      <c r="D105" s="450"/>
      <c r="E105" s="449"/>
      <c r="F105" s="448"/>
      <c r="G105" s="447">
        <f>SUM(G82:G104)</f>
        <v>0</v>
      </c>
      <c r="H105" s="446"/>
      <c r="I105" s="445">
        <f>SUM(I82:I104)</f>
        <v>6.942426775000001</v>
      </c>
      <c r="J105" s="568"/>
      <c r="K105" s="576">
        <f>SUM(K82:K104)</f>
        <v>0</v>
      </c>
      <c r="L105" s="436"/>
      <c r="O105" s="444">
        <v>4</v>
      </c>
      <c r="BA105" s="443">
        <f>SUM(BA82:BA104)</f>
        <v>0</v>
      </c>
      <c r="BB105" s="443">
        <f>SUM(BB82:BB104)</f>
        <v>0</v>
      </c>
      <c r="BC105" s="443">
        <f>SUM(BC82:BC104)</f>
        <v>0</v>
      </c>
      <c r="BD105" s="443">
        <f>SUM(BD82:BD104)</f>
        <v>0</v>
      </c>
      <c r="BE105" s="443">
        <f>SUM(BE82:BE104)</f>
        <v>0</v>
      </c>
    </row>
    <row r="106" spans="1:15" ht="12.75">
      <c r="A106" s="471" t="s">
        <v>140</v>
      </c>
      <c r="B106" s="470" t="s">
        <v>462</v>
      </c>
      <c r="C106" s="469" t="s">
        <v>17</v>
      </c>
      <c r="D106" s="468"/>
      <c r="E106" s="467"/>
      <c r="F106" s="467"/>
      <c r="G106" s="466"/>
      <c r="H106" s="465"/>
      <c r="I106" s="464"/>
      <c r="J106" s="568"/>
      <c r="K106" s="569"/>
      <c r="L106" s="436"/>
      <c r="O106" s="444">
        <v>1</v>
      </c>
    </row>
    <row r="107" spans="1:80" ht="12.75">
      <c r="A107" s="461">
        <v>36</v>
      </c>
      <c r="B107" s="460" t="s">
        <v>594</v>
      </c>
      <c r="C107" s="459" t="s">
        <v>595</v>
      </c>
      <c r="D107" s="458" t="s">
        <v>145</v>
      </c>
      <c r="E107" s="457">
        <v>24.03</v>
      </c>
      <c r="F107" s="457"/>
      <c r="G107" s="456">
        <f>E107*F107</f>
        <v>0</v>
      </c>
      <c r="H107" s="455">
        <v>0.27994</v>
      </c>
      <c r="I107" s="454">
        <f>E107*H107</f>
        <v>6.726958200000001</v>
      </c>
      <c r="J107" s="570">
        <v>0</v>
      </c>
      <c r="K107" s="571">
        <f>E107*J107</f>
        <v>0</v>
      </c>
      <c r="L107" s="436"/>
      <c r="O107" s="444">
        <v>2</v>
      </c>
      <c r="AA107" s="434">
        <v>1</v>
      </c>
      <c r="AB107" s="434">
        <v>1</v>
      </c>
      <c r="AC107" s="434">
        <v>1</v>
      </c>
      <c r="AZ107" s="434">
        <v>1</v>
      </c>
      <c r="BA107" s="434">
        <f>IF(AZ107=1,G107,0)</f>
        <v>0</v>
      </c>
      <c r="BB107" s="434">
        <f>IF(AZ107=2,G107,0)</f>
        <v>0</v>
      </c>
      <c r="BC107" s="434">
        <f>IF(AZ107=3,G107,0)</f>
        <v>0</v>
      </c>
      <c r="BD107" s="434">
        <f>IF(AZ107=4,G107,0)</f>
        <v>0</v>
      </c>
      <c r="BE107" s="434">
        <f>IF(AZ107=5,G107,0)</f>
        <v>0</v>
      </c>
      <c r="CA107" s="444">
        <v>1</v>
      </c>
      <c r="CB107" s="444">
        <v>1</v>
      </c>
    </row>
    <row r="108" spans="1:15" ht="12.75">
      <c r="A108" s="478"/>
      <c r="B108" s="477"/>
      <c r="C108" s="1621" t="s">
        <v>596</v>
      </c>
      <c r="D108" s="1589"/>
      <c r="E108" s="476">
        <v>19.2</v>
      </c>
      <c r="F108" s="475"/>
      <c r="G108" s="230"/>
      <c r="H108" s="474"/>
      <c r="I108" s="473"/>
      <c r="J108" s="569"/>
      <c r="K108" s="572"/>
      <c r="L108" s="436"/>
      <c r="M108" s="472" t="s">
        <v>596</v>
      </c>
      <c r="O108" s="444"/>
    </row>
    <row r="109" spans="1:15" ht="12.75">
      <c r="A109" s="478"/>
      <c r="B109" s="477"/>
      <c r="C109" s="1621" t="s">
        <v>597</v>
      </c>
      <c r="D109" s="1589"/>
      <c r="E109" s="476">
        <v>4.83</v>
      </c>
      <c r="F109" s="475"/>
      <c r="G109" s="230"/>
      <c r="H109" s="474"/>
      <c r="I109" s="473"/>
      <c r="J109" s="569"/>
      <c r="K109" s="572"/>
      <c r="L109" s="436"/>
      <c r="M109" s="472" t="s">
        <v>597</v>
      </c>
      <c r="O109" s="444"/>
    </row>
    <row r="110" spans="1:80" ht="12.75">
      <c r="A110" s="461">
        <v>37</v>
      </c>
      <c r="B110" s="460" t="s">
        <v>598</v>
      </c>
      <c r="C110" s="459" t="s">
        <v>599</v>
      </c>
      <c r="D110" s="458" t="s">
        <v>145</v>
      </c>
      <c r="E110" s="457">
        <v>24.03</v>
      </c>
      <c r="F110" s="457"/>
      <c r="G110" s="456">
        <f>E110*F110</f>
        <v>0</v>
      </c>
      <c r="H110" s="455">
        <v>0.05545</v>
      </c>
      <c r="I110" s="454">
        <f>E110*H110</f>
        <v>1.3324635</v>
      </c>
      <c r="J110" s="570">
        <v>0</v>
      </c>
      <c r="K110" s="571">
        <f>E110*J110</f>
        <v>0</v>
      </c>
      <c r="L110" s="436"/>
      <c r="O110" s="444">
        <v>2</v>
      </c>
      <c r="AA110" s="434">
        <v>1</v>
      </c>
      <c r="AB110" s="434">
        <v>1</v>
      </c>
      <c r="AC110" s="434">
        <v>1</v>
      </c>
      <c r="AZ110" s="434">
        <v>1</v>
      </c>
      <c r="BA110" s="434">
        <f>IF(AZ110=1,G110,0)</f>
        <v>0</v>
      </c>
      <c r="BB110" s="434">
        <f>IF(AZ110=2,G110,0)</f>
        <v>0</v>
      </c>
      <c r="BC110" s="434">
        <f>IF(AZ110=3,G110,0)</f>
        <v>0</v>
      </c>
      <c r="BD110" s="434">
        <f>IF(AZ110=4,G110,0)</f>
        <v>0</v>
      </c>
      <c r="BE110" s="434">
        <f>IF(AZ110=5,G110,0)</f>
        <v>0</v>
      </c>
      <c r="CA110" s="444">
        <v>1</v>
      </c>
      <c r="CB110" s="444">
        <v>1</v>
      </c>
    </row>
    <row r="111" spans="1:15" ht="12.75">
      <c r="A111" s="478"/>
      <c r="B111" s="477"/>
      <c r="C111" s="1621" t="s">
        <v>596</v>
      </c>
      <c r="D111" s="1589"/>
      <c r="E111" s="476">
        <v>19.2</v>
      </c>
      <c r="F111" s="475"/>
      <c r="G111" s="230"/>
      <c r="H111" s="474"/>
      <c r="I111" s="473"/>
      <c r="J111" s="569"/>
      <c r="K111" s="572"/>
      <c r="L111" s="436"/>
      <c r="M111" s="472" t="s">
        <v>596</v>
      </c>
      <c r="O111" s="444"/>
    </row>
    <row r="112" spans="1:15" ht="12.75">
      <c r="A112" s="478"/>
      <c r="B112" s="477"/>
      <c r="C112" s="1621" t="s">
        <v>597</v>
      </c>
      <c r="D112" s="1589"/>
      <c r="E112" s="476">
        <v>4.83</v>
      </c>
      <c r="F112" s="475"/>
      <c r="G112" s="230"/>
      <c r="H112" s="474"/>
      <c r="I112" s="473"/>
      <c r="J112" s="569"/>
      <c r="K112" s="572"/>
      <c r="L112" s="436"/>
      <c r="M112" s="472" t="s">
        <v>597</v>
      </c>
      <c r="O112" s="444"/>
    </row>
    <row r="113" spans="1:80" ht="12.75">
      <c r="A113" s="461">
        <v>38</v>
      </c>
      <c r="B113" s="460" t="s">
        <v>600</v>
      </c>
      <c r="C113" s="459" t="s">
        <v>601</v>
      </c>
      <c r="D113" s="458" t="s">
        <v>145</v>
      </c>
      <c r="E113" s="457">
        <v>24.03</v>
      </c>
      <c r="F113" s="457"/>
      <c r="G113" s="456">
        <f>E113*F113</f>
        <v>0</v>
      </c>
      <c r="H113" s="455">
        <v>0</v>
      </c>
      <c r="I113" s="454">
        <f>E113*H113</f>
        <v>0</v>
      </c>
      <c r="J113" s="570">
        <v>0</v>
      </c>
      <c r="K113" s="571">
        <f>E113*J113</f>
        <v>0</v>
      </c>
      <c r="L113" s="436"/>
      <c r="O113" s="444">
        <v>2</v>
      </c>
      <c r="AA113" s="434">
        <v>1</v>
      </c>
      <c r="AB113" s="434">
        <v>1</v>
      </c>
      <c r="AC113" s="434">
        <v>1</v>
      </c>
      <c r="AZ113" s="434">
        <v>1</v>
      </c>
      <c r="BA113" s="434">
        <f>IF(AZ113=1,G113,0)</f>
        <v>0</v>
      </c>
      <c r="BB113" s="434">
        <f>IF(AZ113=2,G113,0)</f>
        <v>0</v>
      </c>
      <c r="BC113" s="434">
        <f>IF(AZ113=3,G113,0)</f>
        <v>0</v>
      </c>
      <c r="BD113" s="434">
        <f>IF(AZ113=4,G113,0)</f>
        <v>0</v>
      </c>
      <c r="BE113" s="434">
        <f>IF(AZ113=5,G113,0)</f>
        <v>0</v>
      </c>
      <c r="CA113" s="444">
        <v>1</v>
      </c>
      <c r="CB113" s="444">
        <v>1</v>
      </c>
    </row>
    <row r="114" spans="1:15" ht="12.75">
      <c r="A114" s="478"/>
      <c r="B114" s="477"/>
      <c r="C114" s="1621" t="s">
        <v>596</v>
      </c>
      <c r="D114" s="1589"/>
      <c r="E114" s="476">
        <v>19.2</v>
      </c>
      <c r="F114" s="475"/>
      <c r="G114" s="230"/>
      <c r="H114" s="474"/>
      <c r="I114" s="473"/>
      <c r="J114" s="569"/>
      <c r="K114" s="572"/>
      <c r="L114" s="436"/>
      <c r="M114" s="472" t="s">
        <v>596</v>
      </c>
      <c r="O114" s="444"/>
    </row>
    <row r="115" spans="1:15" ht="12.75">
      <c r="A115" s="478"/>
      <c r="B115" s="477"/>
      <c r="C115" s="1621" t="s">
        <v>597</v>
      </c>
      <c r="D115" s="1589"/>
      <c r="E115" s="476">
        <v>4.83</v>
      </c>
      <c r="F115" s="475"/>
      <c r="G115" s="230"/>
      <c r="H115" s="474"/>
      <c r="I115" s="473"/>
      <c r="J115" s="569"/>
      <c r="K115" s="572"/>
      <c r="L115" s="436"/>
      <c r="M115" s="472" t="s">
        <v>597</v>
      </c>
      <c r="O115" s="444"/>
    </row>
    <row r="116" spans="1:80" ht="12.75">
      <c r="A116" s="461">
        <v>39</v>
      </c>
      <c r="B116" s="460" t="s">
        <v>602</v>
      </c>
      <c r="C116" s="459" t="s">
        <v>603</v>
      </c>
      <c r="D116" s="458" t="s">
        <v>145</v>
      </c>
      <c r="E116" s="457">
        <v>28.836</v>
      </c>
      <c r="F116" s="457"/>
      <c r="G116" s="456">
        <f>E116*F116</f>
        <v>0</v>
      </c>
      <c r="H116" s="455">
        <v>0.131</v>
      </c>
      <c r="I116" s="454">
        <f>E116*H116</f>
        <v>3.777516</v>
      </c>
      <c r="J116" s="570"/>
      <c r="K116" s="571">
        <f>E116*J116</f>
        <v>0</v>
      </c>
      <c r="L116" s="436"/>
      <c r="O116" s="444">
        <v>2</v>
      </c>
      <c r="AA116" s="434">
        <v>3</v>
      </c>
      <c r="AB116" s="434">
        <v>1</v>
      </c>
      <c r="AC116" s="434">
        <v>59245263</v>
      </c>
      <c r="AZ116" s="434">
        <v>1</v>
      </c>
      <c r="BA116" s="434">
        <f>IF(AZ116=1,G116,0)</f>
        <v>0</v>
      </c>
      <c r="BB116" s="434">
        <f>IF(AZ116=2,G116,0)</f>
        <v>0</v>
      </c>
      <c r="BC116" s="434">
        <f>IF(AZ116=3,G116,0)</f>
        <v>0</v>
      </c>
      <c r="BD116" s="434">
        <f>IF(AZ116=4,G116,0)</f>
        <v>0</v>
      </c>
      <c r="BE116" s="434">
        <f>IF(AZ116=5,G116,0)</f>
        <v>0</v>
      </c>
      <c r="CA116" s="444">
        <v>3</v>
      </c>
      <c r="CB116" s="444">
        <v>1</v>
      </c>
    </row>
    <row r="117" spans="1:15" ht="12.75">
      <c r="A117" s="478"/>
      <c r="B117" s="477"/>
      <c r="C117" s="1628" t="s">
        <v>197</v>
      </c>
      <c r="D117" s="1589"/>
      <c r="E117" s="577">
        <v>0</v>
      </c>
      <c r="F117" s="475"/>
      <c r="G117" s="230"/>
      <c r="H117" s="474"/>
      <c r="I117" s="473"/>
      <c r="J117" s="569"/>
      <c r="K117" s="572"/>
      <c r="L117" s="436"/>
      <c r="M117" s="472" t="s">
        <v>197</v>
      </c>
      <c r="O117" s="444"/>
    </row>
    <row r="118" spans="1:15" ht="12.75">
      <c r="A118" s="478"/>
      <c r="B118" s="477"/>
      <c r="C118" s="1628" t="s">
        <v>596</v>
      </c>
      <c r="D118" s="1589"/>
      <c r="E118" s="577">
        <v>19.2</v>
      </c>
      <c r="F118" s="475"/>
      <c r="G118" s="230"/>
      <c r="H118" s="474"/>
      <c r="I118" s="473"/>
      <c r="J118" s="569"/>
      <c r="K118" s="572"/>
      <c r="L118" s="436"/>
      <c r="M118" s="472" t="s">
        <v>596</v>
      </c>
      <c r="O118" s="444"/>
    </row>
    <row r="119" spans="1:15" ht="12.75">
      <c r="A119" s="478"/>
      <c r="B119" s="477"/>
      <c r="C119" s="1628" t="s">
        <v>597</v>
      </c>
      <c r="D119" s="1589"/>
      <c r="E119" s="577">
        <v>4.83</v>
      </c>
      <c r="F119" s="475"/>
      <c r="G119" s="230"/>
      <c r="H119" s="474"/>
      <c r="I119" s="473"/>
      <c r="J119" s="569"/>
      <c r="K119" s="572"/>
      <c r="L119" s="436"/>
      <c r="M119" s="472" t="s">
        <v>597</v>
      </c>
      <c r="O119" s="444"/>
    </row>
    <row r="120" spans="1:15" ht="12.75">
      <c r="A120" s="478"/>
      <c r="B120" s="477"/>
      <c r="C120" s="1628" t="s">
        <v>199</v>
      </c>
      <c r="D120" s="1589"/>
      <c r="E120" s="577">
        <v>24.03</v>
      </c>
      <c r="F120" s="475"/>
      <c r="G120" s="230"/>
      <c r="H120" s="474"/>
      <c r="I120" s="473"/>
      <c r="J120" s="569"/>
      <c r="K120" s="572"/>
      <c r="L120" s="436"/>
      <c r="M120" s="472" t="s">
        <v>199</v>
      </c>
      <c r="O120" s="444"/>
    </row>
    <row r="121" spans="1:15" ht="12.75">
      <c r="A121" s="478"/>
      <c r="B121" s="477"/>
      <c r="C121" s="1621" t="s">
        <v>604</v>
      </c>
      <c r="D121" s="1589"/>
      <c r="E121" s="476">
        <v>28.836</v>
      </c>
      <c r="F121" s="475"/>
      <c r="G121" s="230"/>
      <c r="H121" s="474"/>
      <c r="I121" s="473"/>
      <c r="J121" s="569"/>
      <c r="K121" s="572"/>
      <c r="L121" s="436"/>
      <c r="M121" s="472" t="s">
        <v>604</v>
      </c>
      <c r="O121" s="444"/>
    </row>
    <row r="122" spans="1:57" ht="12.75">
      <c r="A122" s="453"/>
      <c r="B122" s="452" t="s">
        <v>175</v>
      </c>
      <c r="C122" s="451" t="s">
        <v>605</v>
      </c>
      <c r="D122" s="450"/>
      <c r="E122" s="449"/>
      <c r="F122" s="448"/>
      <c r="G122" s="447">
        <f>SUM(G106:G121)</f>
        <v>0</v>
      </c>
      <c r="H122" s="446"/>
      <c r="I122" s="445">
        <f>SUM(I106:I121)</f>
        <v>11.836937700000002</v>
      </c>
      <c r="J122" s="568"/>
      <c r="K122" s="576">
        <f>SUM(K106:K121)</f>
        <v>0</v>
      </c>
      <c r="L122" s="436"/>
      <c r="O122" s="444">
        <v>4</v>
      </c>
      <c r="BA122" s="443">
        <f>SUM(BA106:BA121)</f>
        <v>0</v>
      </c>
      <c r="BB122" s="443">
        <f>SUM(BB106:BB121)</f>
        <v>0</v>
      </c>
      <c r="BC122" s="443">
        <f>SUM(BC106:BC121)</f>
        <v>0</v>
      </c>
      <c r="BD122" s="443">
        <f>SUM(BD106:BD121)</f>
        <v>0</v>
      </c>
      <c r="BE122" s="443">
        <f>SUM(BE106:BE121)</f>
        <v>0</v>
      </c>
    </row>
    <row r="123" spans="1:15" ht="12.75">
      <c r="A123" s="471" t="s">
        <v>140</v>
      </c>
      <c r="B123" s="470" t="s">
        <v>606</v>
      </c>
      <c r="C123" s="469" t="s">
        <v>607</v>
      </c>
      <c r="D123" s="468"/>
      <c r="E123" s="467"/>
      <c r="F123" s="467"/>
      <c r="G123" s="466"/>
      <c r="H123" s="465"/>
      <c r="I123" s="464"/>
      <c r="J123" s="568"/>
      <c r="K123" s="569"/>
      <c r="L123" s="436"/>
      <c r="O123" s="444">
        <v>1</v>
      </c>
    </row>
    <row r="124" spans="1:80" ht="12.75">
      <c r="A124" s="461">
        <v>40</v>
      </c>
      <c r="B124" s="460" t="s">
        <v>608</v>
      </c>
      <c r="C124" s="459" t="s">
        <v>609</v>
      </c>
      <c r="D124" s="458" t="s">
        <v>145</v>
      </c>
      <c r="E124" s="457">
        <v>35.7</v>
      </c>
      <c r="F124" s="457"/>
      <c r="G124" s="456">
        <f>E124*F124</f>
        <v>0</v>
      </c>
      <c r="H124" s="455">
        <v>0.003</v>
      </c>
      <c r="I124" s="454">
        <f>E124*H124</f>
        <v>0.10710000000000001</v>
      </c>
      <c r="J124" s="570">
        <v>0</v>
      </c>
      <c r="K124" s="571">
        <f>E124*J124</f>
        <v>0</v>
      </c>
      <c r="L124" s="436"/>
      <c r="O124" s="444">
        <v>2</v>
      </c>
      <c r="AA124" s="434">
        <v>1</v>
      </c>
      <c r="AB124" s="434">
        <v>1</v>
      </c>
      <c r="AC124" s="434">
        <v>1</v>
      </c>
      <c r="AZ124" s="434">
        <v>1</v>
      </c>
      <c r="BA124" s="434">
        <f>IF(AZ124=1,G124,0)</f>
        <v>0</v>
      </c>
      <c r="BB124" s="434">
        <f>IF(AZ124=2,G124,0)</f>
        <v>0</v>
      </c>
      <c r="BC124" s="434">
        <f>IF(AZ124=3,G124,0)</f>
        <v>0</v>
      </c>
      <c r="BD124" s="434">
        <f>IF(AZ124=4,G124,0)</f>
        <v>0</v>
      </c>
      <c r="BE124" s="434">
        <f>IF(AZ124=5,G124,0)</f>
        <v>0</v>
      </c>
      <c r="CA124" s="444">
        <v>1</v>
      </c>
      <c r="CB124" s="444">
        <v>1</v>
      </c>
    </row>
    <row r="125" spans="1:15" ht="12.75">
      <c r="A125" s="478"/>
      <c r="B125" s="477"/>
      <c r="C125" s="1621" t="s">
        <v>610</v>
      </c>
      <c r="D125" s="1589"/>
      <c r="E125" s="476">
        <v>1.89</v>
      </c>
      <c r="F125" s="475"/>
      <c r="G125" s="230"/>
      <c r="H125" s="474"/>
      <c r="I125" s="473"/>
      <c r="J125" s="569"/>
      <c r="K125" s="572"/>
      <c r="L125" s="436"/>
      <c r="M125" s="472" t="s">
        <v>610</v>
      </c>
      <c r="O125" s="444"/>
    </row>
    <row r="126" spans="1:15" ht="12.75">
      <c r="A126" s="478"/>
      <c r="B126" s="477"/>
      <c r="C126" s="1621" t="s">
        <v>611</v>
      </c>
      <c r="D126" s="1589"/>
      <c r="E126" s="476">
        <v>33.81</v>
      </c>
      <c r="F126" s="475"/>
      <c r="G126" s="230"/>
      <c r="H126" s="474"/>
      <c r="I126" s="473"/>
      <c r="J126" s="569"/>
      <c r="K126" s="572"/>
      <c r="L126" s="436"/>
      <c r="M126" s="472" t="s">
        <v>611</v>
      </c>
      <c r="O126" s="444"/>
    </row>
    <row r="127" spans="1:80" ht="20.4">
      <c r="A127" s="461">
        <v>41</v>
      </c>
      <c r="B127" s="460" t="s">
        <v>612</v>
      </c>
      <c r="C127" s="459" t="s">
        <v>613</v>
      </c>
      <c r="D127" s="458" t="s">
        <v>145</v>
      </c>
      <c r="E127" s="457">
        <v>152.64</v>
      </c>
      <c r="F127" s="457"/>
      <c r="G127" s="456">
        <f>E127*F127</f>
        <v>0</v>
      </c>
      <c r="H127" s="455">
        <v>0.00367</v>
      </c>
      <c r="I127" s="454">
        <f>E127*H127</f>
        <v>0.5601887999999999</v>
      </c>
      <c r="J127" s="570">
        <v>0</v>
      </c>
      <c r="K127" s="571">
        <f>E127*J127</f>
        <v>0</v>
      </c>
      <c r="L127" s="436"/>
      <c r="O127" s="444">
        <v>2</v>
      </c>
      <c r="AA127" s="434">
        <v>1</v>
      </c>
      <c r="AB127" s="434">
        <v>1</v>
      </c>
      <c r="AC127" s="434">
        <v>1</v>
      </c>
      <c r="AZ127" s="434">
        <v>1</v>
      </c>
      <c r="BA127" s="434">
        <f>IF(AZ127=1,G127,0)</f>
        <v>0</v>
      </c>
      <c r="BB127" s="434">
        <f>IF(AZ127=2,G127,0)</f>
        <v>0</v>
      </c>
      <c r="BC127" s="434">
        <f>IF(AZ127=3,G127,0)</f>
        <v>0</v>
      </c>
      <c r="BD127" s="434">
        <f>IF(AZ127=4,G127,0)</f>
        <v>0</v>
      </c>
      <c r="BE127" s="434">
        <f>IF(AZ127=5,G127,0)</f>
        <v>0</v>
      </c>
      <c r="CA127" s="444">
        <v>1</v>
      </c>
      <c r="CB127" s="444">
        <v>1</v>
      </c>
    </row>
    <row r="128" spans="1:15" ht="12.75">
      <c r="A128" s="478"/>
      <c r="B128" s="477"/>
      <c r="C128" s="1621" t="s">
        <v>547</v>
      </c>
      <c r="D128" s="1589"/>
      <c r="E128" s="476">
        <v>85.25</v>
      </c>
      <c r="F128" s="475"/>
      <c r="G128" s="230"/>
      <c r="H128" s="474"/>
      <c r="I128" s="473"/>
      <c r="J128" s="569"/>
      <c r="K128" s="572"/>
      <c r="L128" s="436"/>
      <c r="M128" s="472" t="s">
        <v>547</v>
      </c>
      <c r="O128" s="444"/>
    </row>
    <row r="129" spans="1:15" ht="12.75">
      <c r="A129" s="478"/>
      <c r="B129" s="477"/>
      <c r="C129" s="1621" t="s">
        <v>614</v>
      </c>
      <c r="D129" s="1589"/>
      <c r="E129" s="476">
        <v>9.89</v>
      </c>
      <c r="F129" s="475"/>
      <c r="G129" s="230"/>
      <c r="H129" s="474"/>
      <c r="I129" s="473"/>
      <c r="J129" s="569"/>
      <c r="K129" s="572"/>
      <c r="L129" s="436"/>
      <c r="M129" s="472" t="s">
        <v>614</v>
      </c>
      <c r="O129" s="444"/>
    </row>
    <row r="130" spans="1:15" ht="12.75">
      <c r="A130" s="478"/>
      <c r="B130" s="477"/>
      <c r="C130" s="1621" t="s">
        <v>615</v>
      </c>
      <c r="D130" s="1589"/>
      <c r="E130" s="476">
        <v>57.5</v>
      </c>
      <c r="F130" s="475"/>
      <c r="G130" s="230"/>
      <c r="H130" s="474"/>
      <c r="I130" s="473"/>
      <c r="J130" s="569"/>
      <c r="K130" s="572"/>
      <c r="L130" s="436"/>
      <c r="M130" s="472" t="s">
        <v>615</v>
      </c>
      <c r="O130" s="444"/>
    </row>
    <row r="131" spans="1:57" ht="12.75">
      <c r="A131" s="453"/>
      <c r="B131" s="452" t="s">
        <v>175</v>
      </c>
      <c r="C131" s="451" t="s">
        <v>616</v>
      </c>
      <c r="D131" s="450"/>
      <c r="E131" s="449"/>
      <c r="F131" s="448"/>
      <c r="G131" s="447">
        <f>SUM(G123:G130)</f>
        <v>0</v>
      </c>
      <c r="H131" s="446"/>
      <c r="I131" s="445">
        <f>SUM(I123:I130)</f>
        <v>0.6672887999999999</v>
      </c>
      <c r="J131" s="568"/>
      <c r="K131" s="576">
        <f>SUM(K123:K130)</f>
        <v>0</v>
      </c>
      <c r="L131" s="436"/>
      <c r="O131" s="444">
        <v>4</v>
      </c>
      <c r="BA131" s="443">
        <f>SUM(BA123:BA130)</f>
        <v>0</v>
      </c>
      <c r="BB131" s="443">
        <f>SUM(BB123:BB130)</f>
        <v>0</v>
      </c>
      <c r="BC131" s="443">
        <f>SUM(BC123:BC130)</f>
        <v>0</v>
      </c>
      <c r="BD131" s="443">
        <f>SUM(BD123:BD130)</f>
        <v>0</v>
      </c>
      <c r="BE131" s="443">
        <f>SUM(BE123:BE130)</f>
        <v>0</v>
      </c>
    </row>
    <row r="132" spans="1:15" ht="12.75">
      <c r="A132" s="471" t="s">
        <v>140</v>
      </c>
      <c r="B132" s="470" t="s">
        <v>617</v>
      </c>
      <c r="C132" s="469" t="s">
        <v>618</v>
      </c>
      <c r="D132" s="468"/>
      <c r="E132" s="467"/>
      <c r="F132" s="467"/>
      <c r="G132" s="466"/>
      <c r="H132" s="465"/>
      <c r="I132" s="464"/>
      <c r="J132" s="568"/>
      <c r="K132" s="569"/>
      <c r="L132" s="436"/>
      <c r="O132" s="444">
        <v>1</v>
      </c>
    </row>
    <row r="133" spans="1:80" ht="20.4">
      <c r="A133" s="461">
        <v>42</v>
      </c>
      <c r="B133" s="460" t="s">
        <v>619</v>
      </c>
      <c r="C133" s="459" t="s">
        <v>620</v>
      </c>
      <c r="D133" s="458" t="s">
        <v>145</v>
      </c>
      <c r="E133" s="457">
        <v>70.84</v>
      </c>
      <c r="F133" s="457"/>
      <c r="G133" s="456">
        <f>E133*F133</f>
        <v>0</v>
      </c>
      <c r="H133" s="455">
        <v>0.01472</v>
      </c>
      <c r="I133" s="454">
        <f>E133*H133</f>
        <v>1.0427648</v>
      </c>
      <c r="J133" s="570">
        <v>0</v>
      </c>
      <c r="K133" s="571">
        <f>E133*J133</f>
        <v>0</v>
      </c>
      <c r="L133" s="436"/>
      <c r="O133" s="444">
        <v>2</v>
      </c>
      <c r="AA133" s="434">
        <v>1</v>
      </c>
      <c r="AB133" s="434">
        <v>1</v>
      </c>
      <c r="AC133" s="434">
        <v>1</v>
      </c>
      <c r="AZ133" s="434">
        <v>1</v>
      </c>
      <c r="BA133" s="434">
        <f>IF(AZ133=1,G133,0)</f>
        <v>0</v>
      </c>
      <c r="BB133" s="434">
        <f>IF(AZ133=2,G133,0)</f>
        <v>0</v>
      </c>
      <c r="BC133" s="434">
        <f>IF(AZ133=3,G133,0)</f>
        <v>0</v>
      </c>
      <c r="BD133" s="434">
        <f>IF(AZ133=4,G133,0)</f>
        <v>0</v>
      </c>
      <c r="BE133" s="434">
        <f>IF(AZ133=5,G133,0)</f>
        <v>0</v>
      </c>
      <c r="CA133" s="444">
        <v>1</v>
      </c>
      <c r="CB133" s="444">
        <v>1</v>
      </c>
    </row>
    <row r="134" spans="1:15" ht="12.75">
      <c r="A134" s="478"/>
      <c r="B134" s="477"/>
      <c r="C134" s="1621" t="s">
        <v>621</v>
      </c>
      <c r="D134" s="1589"/>
      <c r="E134" s="476">
        <v>70.84</v>
      </c>
      <c r="F134" s="475"/>
      <c r="G134" s="230"/>
      <c r="H134" s="474"/>
      <c r="I134" s="473"/>
      <c r="J134" s="569"/>
      <c r="K134" s="572"/>
      <c r="L134" s="436"/>
      <c r="M134" s="472" t="s">
        <v>621</v>
      </c>
      <c r="O134" s="444"/>
    </row>
    <row r="135" spans="1:80" ht="12.75">
      <c r="A135" s="461">
        <v>43</v>
      </c>
      <c r="B135" s="460" t="s">
        <v>622</v>
      </c>
      <c r="C135" s="459" t="s">
        <v>623</v>
      </c>
      <c r="D135" s="458" t="s">
        <v>145</v>
      </c>
      <c r="E135" s="457">
        <v>16.1</v>
      </c>
      <c r="F135" s="457"/>
      <c r="G135" s="456">
        <f>E135*F135</f>
        <v>0</v>
      </c>
      <c r="H135" s="455">
        <v>0.01021</v>
      </c>
      <c r="I135" s="454">
        <f>E135*H135</f>
        <v>0.16438100000000003</v>
      </c>
      <c r="J135" s="570">
        <v>0</v>
      </c>
      <c r="K135" s="571">
        <f>E135*J135</f>
        <v>0</v>
      </c>
      <c r="L135" s="436"/>
      <c r="O135" s="444">
        <v>2</v>
      </c>
      <c r="AA135" s="434">
        <v>1</v>
      </c>
      <c r="AB135" s="434">
        <v>1</v>
      </c>
      <c r="AC135" s="434">
        <v>1</v>
      </c>
      <c r="AZ135" s="434">
        <v>1</v>
      </c>
      <c r="BA135" s="434">
        <f>IF(AZ135=1,G135,0)</f>
        <v>0</v>
      </c>
      <c r="BB135" s="434">
        <f>IF(AZ135=2,G135,0)</f>
        <v>0</v>
      </c>
      <c r="BC135" s="434">
        <f>IF(AZ135=3,G135,0)</f>
        <v>0</v>
      </c>
      <c r="BD135" s="434">
        <f>IF(AZ135=4,G135,0)</f>
        <v>0</v>
      </c>
      <c r="BE135" s="434">
        <f>IF(AZ135=5,G135,0)</f>
        <v>0</v>
      </c>
      <c r="CA135" s="444">
        <v>1</v>
      </c>
      <c r="CB135" s="444">
        <v>1</v>
      </c>
    </row>
    <row r="136" spans="1:15" ht="12.75">
      <c r="A136" s="478"/>
      <c r="B136" s="477"/>
      <c r="C136" s="1621" t="s">
        <v>624</v>
      </c>
      <c r="D136" s="1589"/>
      <c r="E136" s="476">
        <v>16.1</v>
      </c>
      <c r="F136" s="475"/>
      <c r="G136" s="230"/>
      <c r="H136" s="474"/>
      <c r="I136" s="473"/>
      <c r="J136" s="569"/>
      <c r="K136" s="572"/>
      <c r="L136" s="436"/>
      <c r="M136" s="472" t="s">
        <v>624</v>
      </c>
      <c r="O136" s="444"/>
    </row>
    <row r="137" spans="1:80" ht="20.4">
      <c r="A137" s="461">
        <v>44</v>
      </c>
      <c r="B137" s="460" t="s">
        <v>625</v>
      </c>
      <c r="C137" s="459" t="s">
        <v>626</v>
      </c>
      <c r="D137" s="458" t="s">
        <v>145</v>
      </c>
      <c r="E137" s="457">
        <v>6.44</v>
      </c>
      <c r="F137" s="457"/>
      <c r="G137" s="456">
        <f>E137*F137</f>
        <v>0</v>
      </c>
      <c r="H137" s="455">
        <v>0.0168</v>
      </c>
      <c r="I137" s="454">
        <f>E137*H137</f>
        <v>0.108192</v>
      </c>
      <c r="J137" s="570">
        <v>0</v>
      </c>
      <c r="K137" s="571">
        <f>E137*J137</f>
        <v>0</v>
      </c>
      <c r="L137" s="436"/>
      <c r="O137" s="444">
        <v>2</v>
      </c>
      <c r="AA137" s="434">
        <v>1</v>
      </c>
      <c r="AB137" s="434">
        <v>1</v>
      </c>
      <c r="AC137" s="434">
        <v>1</v>
      </c>
      <c r="AZ137" s="434">
        <v>1</v>
      </c>
      <c r="BA137" s="434">
        <f>IF(AZ137=1,G137,0)</f>
        <v>0</v>
      </c>
      <c r="BB137" s="434">
        <f>IF(AZ137=2,G137,0)</f>
        <v>0</v>
      </c>
      <c r="BC137" s="434">
        <f>IF(AZ137=3,G137,0)</f>
        <v>0</v>
      </c>
      <c r="BD137" s="434">
        <f>IF(AZ137=4,G137,0)</f>
        <v>0</v>
      </c>
      <c r="BE137" s="434">
        <f>IF(AZ137=5,G137,0)</f>
        <v>0</v>
      </c>
      <c r="CA137" s="444">
        <v>1</v>
      </c>
      <c r="CB137" s="444">
        <v>1</v>
      </c>
    </row>
    <row r="138" spans="1:15" ht="12.75">
      <c r="A138" s="478"/>
      <c r="B138" s="477"/>
      <c r="C138" s="1621" t="s">
        <v>627</v>
      </c>
      <c r="D138" s="1589"/>
      <c r="E138" s="476">
        <v>6.44</v>
      </c>
      <c r="F138" s="475"/>
      <c r="G138" s="230"/>
      <c r="H138" s="474"/>
      <c r="I138" s="473"/>
      <c r="J138" s="569"/>
      <c r="K138" s="572"/>
      <c r="L138" s="436"/>
      <c r="M138" s="472" t="s">
        <v>627</v>
      </c>
      <c r="O138" s="444"/>
    </row>
    <row r="139" spans="1:80" ht="12.75">
      <c r="A139" s="461">
        <v>45</v>
      </c>
      <c r="B139" s="460" t="s">
        <v>628</v>
      </c>
      <c r="C139" s="459" t="s">
        <v>629</v>
      </c>
      <c r="D139" s="458" t="s">
        <v>145</v>
      </c>
      <c r="E139" s="457">
        <v>70.84</v>
      </c>
      <c r="F139" s="457"/>
      <c r="G139" s="456">
        <f>E139*F139</f>
        <v>0</v>
      </c>
      <c r="H139" s="455">
        <v>0</v>
      </c>
      <c r="I139" s="454">
        <f>E139*H139</f>
        <v>0</v>
      </c>
      <c r="J139" s="570">
        <v>0</v>
      </c>
      <c r="K139" s="571">
        <f>E139*J139</f>
        <v>0</v>
      </c>
      <c r="L139" s="436"/>
      <c r="O139" s="444">
        <v>2</v>
      </c>
      <c r="AA139" s="434">
        <v>1</v>
      </c>
      <c r="AB139" s="434">
        <v>1</v>
      </c>
      <c r="AC139" s="434">
        <v>1</v>
      </c>
      <c r="AZ139" s="434">
        <v>1</v>
      </c>
      <c r="BA139" s="434">
        <f>IF(AZ139=1,G139,0)</f>
        <v>0</v>
      </c>
      <c r="BB139" s="434">
        <f>IF(AZ139=2,G139,0)</f>
        <v>0</v>
      </c>
      <c r="BC139" s="434">
        <f>IF(AZ139=3,G139,0)</f>
        <v>0</v>
      </c>
      <c r="BD139" s="434">
        <f>IF(AZ139=4,G139,0)</f>
        <v>0</v>
      </c>
      <c r="BE139" s="434">
        <f>IF(AZ139=5,G139,0)</f>
        <v>0</v>
      </c>
      <c r="CA139" s="444">
        <v>1</v>
      </c>
      <c r="CB139" s="444">
        <v>1</v>
      </c>
    </row>
    <row r="140" spans="1:80" ht="12.75">
      <c r="A140" s="461">
        <v>46</v>
      </c>
      <c r="B140" s="460" t="s">
        <v>630</v>
      </c>
      <c r="C140" s="459" t="s">
        <v>631</v>
      </c>
      <c r="D140" s="458" t="s">
        <v>181</v>
      </c>
      <c r="E140" s="457">
        <v>1</v>
      </c>
      <c r="F140" s="457"/>
      <c r="G140" s="456">
        <f>E140*F140</f>
        <v>0</v>
      </c>
      <c r="H140" s="455">
        <v>8E-05</v>
      </c>
      <c r="I140" s="454">
        <f>E140*H140</f>
        <v>8E-05</v>
      </c>
      <c r="J140" s="570">
        <v>0</v>
      </c>
      <c r="K140" s="571">
        <f>E140*J140</f>
        <v>0</v>
      </c>
      <c r="L140" s="436"/>
      <c r="O140" s="444">
        <v>2</v>
      </c>
      <c r="AA140" s="434">
        <v>1</v>
      </c>
      <c r="AB140" s="434">
        <v>1</v>
      </c>
      <c r="AC140" s="434">
        <v>1</v>
      </c>
      <c r="AZ140" s="434">
        <v>1</v>
      </c>
      <c r="BA140" s="434">
        <f>IF(AZ140=1,G140,0)</f>
        <v>0</v>
      </c>
      <c r="BB140" s="434">
        <f>IF(AZ140=2,G140,0)</f>
        <v>0</v>
      </c>
      <c r="BC140" s="434">
        <f>IF(AZ140=3,G140,0)</f>
        <v>0</v>
      </c>
      <c r="BD140" s="434">
        <f>IF(AZ140=4,G140,0)</f>
        <v>0</v>
      </c>
      <c r="BE140" s="434">
        <f>IF(AZ140=5,G140,0)</f>
        <v>0</v>
      </c>
      <c r="CA140" s="444">
        <v>1</v>
      </c>
      <c r="CB140" s="444">
        <v>1</v>
      </c>
    </row>
    <row r="141" spans="1:80" ht="20.4">
      <c r="A141" s="461">
        <v>47</v>
      </c>
      <c r="B141" s="460" t="s">
        <v>632</v>
      </c>
      <c r="C141" s="459" t="s">
        <v>633</v>
      </c>
      <c r="D141" s="458" t="s">
        <v>145</v>
      </c>
      <c r="E141" s="457">
        <v>44.04</v>
      </c>
      <c r="F141" s="457"/>
      <c r="G141" s="456">
        <f>E141*F141</f>
        <v>0</v>
      </c>
      <c r="H141" s="455">
        <v>0.00063</v>
      </c>
      <c r="I141" s="454">
        <f>E141*H141</f>
        <v>0.0277452</v>
      </c>
      <c r="J141" s="570">
        <v>0</v>
      </c>
      <c r="K141" s="571">
        <f>E141*J141</f>
        <v>0</v>
      </c>
      <c r="L141" s="436"/>
      <c r="O141" s="444">
        <v>2</v>
      </c>
      <c r="AA141" s="434">
        <v>1</v>
      </c>
      <c r="AB141" s="434">
        <v>1</v>
      </c>
      <c r="AC141" s="434">
        <v>1</v>
      </c>
      <c r="AZ141" s="434">
        <v>1</v>
      </c>
      <c r="BA141" s="434">
        <f>IF(AZ141=1,G141,0)</f>
        <v>0</v>
      </c>
      <c r="BB141" s="434">
        <f>IF(AZ141=2,G141,0)</f>
        <v>0</v>
      </c>
      <c r="BC141" s="434">
        <f>IF(AZ141=3,G141,0)</f>
        <v>0</v>
      </c>
      <c r="BD141" s="434">
        <f>IF(AZ141=4,G141,0)</f>
        <v>0</v>
      </c>
      <c r="BE141" s="434">
        <f>IF(AZ141=5,G141,0)</f>
        <v>0</v>
      </c>
      <c r="CA141" s="444">
        <v>1</v>
      </c>
      <c r="CB141" s="444">
        <v>1</v>
      </c>
    </row>
    <row r="142" spans="1:15" ht="12.75">
      <c r="A142" s="478"/>
      <c r="B142" s="477"/>
      <c r="C142" s="1621" t="s">
        <v>634</v>
      </c>
      <c r="D142" s="1589"/>
      <c r="E142" s="476">
        <v>0</v>
      </c>
      <c r="F142" s="475"/>
      <c r="G142" s="230"/>
      <c r="H142" s="474"/>
      <c r="I142" s="473"/>
      <c r="J142" s="569"/>
      <c r="K142" s="572"/>
      <c r="L142" s="436"/>
      <c r="M142" s="472" t="s">
        <v>634</v>
      </c>
      <c r="O142" s="444"/>
    </row>
    <row r="143" spans="1:15" ht="12.75">
      <c r="A143" s="478"/>
      <c r="B143" s="477"/>
      <c r="C143" s="1621" t="s">
        <v>635</v>
      </c>
      <c r="D143" s="1589"/>
      <c r="E143" s="476">
        <v>23.76</v>
      </c>
      <c r="F143" s="475"/>
      <c r="G143" s="230"/>
      <c r="H143" s="474"/>
      <c r="I143" s="473"/>
      <c r="J143" s="569"/>
      <c r="K143" s="572"/>
      <c r="L143" s="436"/>
      <c r="M143" s="472" t="s">
        <v>635</v>
      </c>
      <c r="O143" s="444"/>
    </row>
    <row r="144" spans="1:15" ht="12.75">
      <c r="A144" s="478"/>
      <c r="B144" s="477"/>
      <c r="C144" s="1621" t="s">
        <v>636</v>
      </c>
      <c r="D144" s="1589"/>
      <c r="E144" s="476">
        <v>15.96</v>
      </c>
      <c r="F144" s="475"/>
      <c r="G144" s="230"/>
      <c r="H144" s="474"/>
      <c r="I144" s="473"/>
      <c r="J144" s="569"/>
      <c r="K144" s="572"/>
      <c r="L144" s="436"/>
      <c r="M144" s="472" t="s">
        <v>636</v>
      </c>
      <c r="O144" s="444"/>
    </row>
    <row r="145" spans="1:15" ht="12.75">
      <c r="A145" s="478"/>
      <c r="B145" s="477"/>
      <c r="C145" s="1621" t="s">
        <v>637</v>
      </c>
      <c r="D145" s="1589"/>
      <c r="E145" s="476">
        <v>4.32</v>
      </c>
      <c r="F145" s="475"/>
      <c r="G145" s="230"/>
      <c r="H145" s="474"/>
      <c r="I145" s="473"/>
      <c r="J145" s="569"/>
      <c r="K145" s="572"/>
      <c r="L145" s="436"/>
      <c r="M145" s="472" t="s">
        <v>637</v>
      </c>
      <c r="O145" s="444"/>
    </row>
    <row r="146" spans="1:57" ht="12.75">
      <c r="A146" s="453"/>
      <c r="B146" s="452" t="s">
        <v>175</v>
      </c>
      <c r="C146" s="451" t="s">
        <v>638</v>
      </c>
      <c r="D146" s="450"/>
      <c r="E146" s="449"/>
      <c r="F146" s="448"/>
      <c r="G146" s="447">
        <f>SUM(G132:G145)</f>
        <v>0</v>
      </c>
      <c r="H146" s="446"/>
      <c r="I146" s="445">
        <f>SUM(I132:I145)</f>
        <v>1.3431630000000003</v>
      </c>
      <c r="J146" s="568"/>
      <c r="K146" s="576">
        <f>SUM(K132:K145)</f>
        <v>0</v>
      </c>
      <c r="L146" s="436"/>
      <c r="O146" s="444">
        <v>4</v>
      </c>
      <c r="BA146" s="443">
        <f>SUM(BA132:BA145)</f>
        <v>0</v>
      </c>
      <c r="BB146" s="443">
        <f>SUM(BB132:BB145)</f>
        <v>0</v>
      </c>
      <c r="BC146" s="443">
        <f>SUM(BC132:BC145)</f>
        <v>0</v>
      </c>
      <c r="BD146" s="443">
        <f>SUM(BD132:BD145)</f>
        <v>0</v>
      </c>
      <c r="BE146" s="443">
        <f>SUM(BE132:BE145)</f>
        <v>0</v>
      </c>
    </row>
    <row r="147" spans="1:15" ht="12.75">
      <c r="A147" s="471" t="s">
        <v>140</v>
      </c>
      <c r="B147" s="470" t="s">
        <v>639</v>
      </c>
      <c r="C147" s="469" t="s">
        <v>640</v>
      </c>
      <c r="D147" s="468"/>
      <c r="E147" s="467"/>
      <c r="F147" s="467"/>
      <c r="G147" s="466"/>
      <c r="H147" s="465"/>
      <c r="I147" s="464"/>
      <c r="J147" s="568"/>
      <c r="K147" s="569"/>
      <c r="L147" s="436"/>
      <c r="O147" s="444">
        <v>1</v>
      </c>
    </row>
    <row r="148" spans="1:80" ht="12.75">
      <c r="A148" s="461">
        <v>48</v>
      </c>
      <c r="B148" s="460" t="s">
        <v>641</v>
      </c>
      <c r="C148" s="459" t="s">
        <v>642</v>
      </c>
      <c r="D148" s="458" t="s">
        <v>154</v>
      </c>
      <c r="E148" s="457">
        <v>4.312</v>
      </c>
      <c r="F148" s="457"/>
      <c r="G148" s="456">
        <f>E148*F148</f>
        <v>0</v>
      </c>
      <c r="H148" s="455">
        <v>0</v>
      </c>
      <c r="I148" s="454">
        <f>E148*H148</f>
        <v>0</v>
      </c>
      <c r="J148" s="570">
        <v>0</v>
      </c>
      <c r="K148" s="571">
        <f>E148*J148</f>
        <v>0</v>
      </c>
      <c r="L148" s="436"/>
      <c r="O148" s="444">
        <v>2</v>
      </c>
      <c r="AA148" s="434">
        <v>1</v>
      </c>
      <c r="AB148" s="434">
        <v>0</v>
      </c>
      <c r="AC148" s="434">
        <v>0</v>
      </c>
      <c r="AZ148" s="434">
        <v>1</v>
      </c>
      <c r="BA148" s="434">
        <f>IF(AZ148=1,G148,0)</f>
        <v>0</v>
      </c>
      <c r="BB148" s="434">
        <f>IF(AZ148=2,G148,0)</f>
        <v>0</v>
      </c>
      <c r="BC148" s="434">
        <f>IF(AZ148=3,G148,0)</f>
        <v>0</v>
      </c>
      <c r="BD148" s="434">
        <f>IF(AZ148=4,G148,0)</f>
        <v>0</v>
      </c>
      <c r="BE148" s="434">
        <f>IF(AZ148=5,G148,0)</f>
        <v>0</v>
      </c>
      <c r="CA148" s="444">
        <v>1</v>
      </c>
      <c r="CB148" s="444">
        <v>0</v>
      </c>
    </row>
    <row r="149" spans="1:15" ht="12.75">
      <c r="A149" s="478"/>
      <c r="B149" s="477"/>
      <c r="C149" s="1621" t="s">
        <v>519</v>
      </c>
      <c r="D149" s="1589"/>
      <c r="E149" s="476">
        <v>4.312</v>
      </c>
      <c r="F149" s="475"/>
      <c r="G149" s="230"/>
      <c r="H149" s="474"/>
      <c r="I149" s="473"/>
      <c r="J149" s="569"/>
      <c r="K149" s="572"/>
      <c r="L149" s="436"/>
      <c r="M149" s="472" t="s">
        <v>519</v>
      </c>
      <c r="O149" s="444"/>
    </row>
    <row r="150" spans="1:80" ht="20.4">
      <c r="A150" s="461">
        <v>49</v>
      </c>
      <c r="B150" s="460" t="s">
        <v>643</v>
      </c>
      <c r="C150" s="459" t="s">
        <v>644</v>
      </c>
      <c r="D150" s="458" t="s">
        <v>145</v>
      </c>
      <c r="E150" s="457">
        <v>43.12</v>
      </c>
      <c r="F150" s="457"/>
      <c r="G150" s="456">
        <f>E150*F150</f>
        <v>0</v>
      </c>
      <c r="H150" s="455">
        <v>0.095</v>
      </c>
      <c r="I150" s="454">
        <f>E150*H150</f>
        <v>4.0964</v>
      </c>
      <c r="J150" s="570">
        <v>0</v>
      </c>
      <c r="K150" s="571">
        <f>E150*J150</f>
        <v>0</v>
      </c>
      <c r="L150" s="436"/>
      <c r="O150" s="444">
        <v>2</v>
      </c>
      <c r="AA150" s="434">
        <v>1</v>
      </c>
      <c r="AB150" s="434">
        <v>1</v>
      </c>
      <c r="AC150" s="434">
        <v>1</v>
      </c>
      <c r="AZ150" s="434">
        <v>1</v>
      </c>
      <c r="BA150" s="434">
        <f>IF(AZ150=1,G150,0)</f>
        <v>0</v>
      </c>
      <c r="BB150" s="434">
        <f>IF(AZ150=2,G150,0)</f>
        <v>0</v>
      </c>
      <c r="BC150" s="434">
        <f>IF(AZ150=3,G150,0)</f>
        <v>0</v>
      </c>
      <c r="BD150" s="434">
        <f>IF(AZ150=4,G150,0)</f>
        <v>0</v>
      </c>
      <c r="BE150" s="434">
        <f>IF(AZ150=5,G150,0)</f>
        <v>0</v>
      </c>
      <c r="CA150" s="444">
        <v>1</v>
      </c>
      <c r="CB150" s="444">
        <v>1</v>
      </c>
    </row>
    <row r="151" spans="1:15" ht="12.75">
      <c r="A151" s="478"/>
      <c r="B151" s="477"/>
      <c r="C151" s="1621" t="s">
        <v>645</v>
      </c>
      <c r="D151" s="1589"/>
      <c r="E151" s="476">
        <v>43.12</v>
      </c>
      <c r="F151" s="475"/>
      <c r="G151" s="230"/>
      <c r="H151" s="474"/>
      <c r="I151" s="473"/>
      <c r="J151" s="569"/>
      <c r="K151" s="572"/>
      <c r="L151" s="436"/>
      <c r="M151" s="472" t="s">
        <v>645</v>
      </c>
      <c r="O151" s="444"/>
    </row>
    <row r="152" spans="1:57" ht="12.75">
      <c r="A152" s="453"/>
      <c r="B152" s="452" t="s">
        <v>175</v>
      </c>
      <c r="C152" s="451" t="s">
        <v>646</v>
      </c>
      <c r="D152" s="450"/>
      <c r="E152" s="449"/>
      <c r="F152" s="448"/>
      <c r="G152" s="447">
        <f>SUM(G147:G151)</f>
        <v>0</v>
      </c>
      <c r="H152" s="446"/>
      <c r="I152" s="445">
        <f>SUM(I147:I151)</f>
        <v>4.0964</v>
      </c>
      <c r="J152" s="568"/>
      <c r="K152" s="576">
        <f>SUM(K147:K151)</f>
        <v>0</v>
      </c>
      <c r="L152" s="436"/>
      <c r="O152" s="444">
        <v>4</v>
      </c>
      <c r="BA152" s="443">
        <f>SUM(BA147:BA151)</f>
        <v>0</v>
      </c>
      <c r="BB152" s="443">
        <f>SUM(BB147:BB151)</f>
        <v>0</v>
      </c>
      <c r="BC152" s="443">
        <f>SUM(BC147:BC151)</f>
        <v>0</v>
      </c>
      <c r="BD152" s="443">
        <f>SUM(BD147:BD151)</f>
        <v>0</v>
      </c>
      <c r="BE152" s="443">
        <f>SUM(BE147:BE151)</f>
        <v>0</v>
      </c>
    </row>
    <row r="153" spans="1:15" ht="12.75">
      <c r="A153" s="471" t="s">
        <v>140</v>
      </c>
      <c r="B153" s="470" t="s">
        <v>647</v>
      </c>
      <c r="C153" s="469" t="s">
        <v>648</v>
      </c>
      <c r="D153" s="468"/>
      <c r="E153" s="467"/>
      <c r="F153" s="467"/>
      <c r="G153" s="466"/>
      <c r="H153" s="465"/>
      <c r="I153" s="464"/>
      <c r="J153" s="568"/>
      <c r="K153" s="569"/>
      <c r="L153" s="436"/>
      <c r="O153" s="444">
        <v>1</v>
      </c>
    </row>
    <row r="154" spans="1:80" ht="20.4">
      <c r="A154" s="461">
        <v>50</v>
      </c>
      <c r="B154" s="460" t="s">
        <v>649</v>
      </c>
      <c r="C154" s="459" t="s">
        <v>650</v>
      </c>
      <c r="D154" s="458" t="s">
        <v>196</v>
      </c>
      <c r="E154" s="457">
        <v>2</v>
      </c>
      <c r="F154" s="457"/>
      <c r="G154" s="456">
        <f>E154*F154</f>
        <v>0</v>
      </c>
      <c r="H154" s="455">
        <v>0.02897</v>
      </c>
      <c r="I154" s="454">
        <f>E154*H154</f>
        <v>0.05794</v>
      </c>
      <c r="J154" s="570">
        <v>0</v>
      </c>
      <c r="K154" s="571">
        <f>E154*J154</f>
        <v>0</v>
      </c>
      <c r="L154" s="436"/>
      <c r="O154" s="444">
        <v>2</v>
      </c>
      <c r="AA154" s="434">
        <v>1</v>
      </c>
      <c r="AB154" s="434">
        <v>1</v>
      </c>
      <c r="AC154" s="434">
        <v>1</v>
      </c>
      <c r="AZ154" s="434">
        <v>1</v>
      </c>
      <c r="BA154" s="434">
        <f>IF(AZ154=1,G154,0)</f>
        <v>0</v>
      </c>
      <c r="BB154" s="434">
        <f>IF(AZ154=2,G154,0)</f>
        <v>0</v>
      </c>
      <c r="BC154" s="434">
        <f>IF(AZ154=3,G154,0)</f>
        <v>0</v>
      </c>
      <c r="BD154" s="434">
        <f>IF(AZ154=4,G154,0)</f>
        <v>0</v>
      </c>
      <c r="BE154" s="434">
        <f>IF(AZ154=5,G154,0)</f>
        <v>0</v>
      </c>
      <c r="CA154" s="444">
        <v>1</v>
      </c>
      <c r="CB154" s="444">
        <v>1</v>
      </c>
    </row>
    <row r="155" spans="1:15" ht="12.75">
      <c r="A155" s="478"/>
      <c r="B155" s="477"/>
      <c r="C155" s="1621" t="s">
        <v>651</v>
      </c>
      <c r="D155" s="1589"/>
      <c r="E155" s="476">
        <v>1</v>
      </c>
      <c r="F155" s="475"/>
      <c r="G155" s="230"/>
      <c r="H155" s="474"/>
      <c r="I155" s="473"/>
      <c r="J155" s="569"/>
      <c r="K155" s="572"/>
      <c r="L155" s="436"/>
      <c r="M155" s="472" t="s">
        <v>651</v>
      </c>
      <c r="O155" s="444"/>
    </row>
    <row r="156" spans="1:15" ht="12.75">
      <c r="A156" s="478"/>
      <c r="B156" s="477"/>
      <c r="C156" s="1621" t="s">
        <v>652</v>
      </c>
      <c r="D156" s="1589"/>
      <c r="E156" s="476">
        <v>1</v>
      </c>
      <c r="F156" s="475"/>
      <c r="G156" s="230"/>
      <c r="H156" s="474"/>
      <c r="I156" s="473"/>
      <c r="J156" s="569"/>
      <c r="K156" s="572"/>
      <c r="L156" s="436"/>
      <c r="M156" s="472" t="s">
        <v>652</v>
      </c>
      <c r="O156" s="444"/>
    </row>
    <row r="157" spans="1:57" ht="12.75">
      <c r="A157" s="453"/>
      <c r="B157" s="452" t="s">
        <v>175</v>
      </c>
      <c r="C157" s="451" t="s">
        <v>653</v>
      </c>
      <c r="D157" s="450"/>
      <c r="E157" s="449"/>
      <c r="F157" s="448"/>
      <c r="G157" s="447">
        <f>SUM(G153:G156)</f>
        <v>0</v>
      </c>
      <c r="H157" s="446"/>
      <c r="I157" s="445">
        <f>SUM(I153:I156)</f>
        <v>0.05794</v>
      </c>
      <c r="J157" s="568"/>
      <c r="K157" s="576">
        <f>SUM(K153:K156)</f>
        <v>0</v>
      </c>
      <c r="L157" s="436"/>
      <c r="O157" s="444">
        <v>4</v>
      </c>
      <c r="BA157" s="443">
        <f>SUM(BA153:BA156)</f>
        <v>0</v>
      </c>
      <c r="BB157" s="443">
        <f>SUM(BB153:BB156)</f>
        <v>0</v>
      </c>
      <c r="BC157" s="443">
        <f>SUM(BC153:BC156)</f>
        <v>0</v>
      </c>
      <c r="BD157" s="443">
        <f>SUM(BD153:BD156)</f>
        <v>0</v>
      </c>
      <c r="BE157" s="443">
        <f>SUM(BE153:BE156)</f>
        <v>0</v>
      </c>
    </row>
    <row r="158" spans="1:15" ht="12.75">
      <c r="A158" s="471" t="s">
        <v>140</v>
      </c>
      <c r="B158" s="470" t="s">
        <v>348</v>
      </c>
      <c r="C158" s="469" t="s">
        <v>347</v>
      </c>
      <c r="D158" s="468"/>
      <c r="E158" s="467"/>
      <c r="F158" s="467"/>
      <c r="G158" s="466"/>
      <c r="H158" s="465"/>
      <c r="I158" s="464"/>
      <c r="J158" s="568"/>
      <c r="K158" s="569"/>
      <c r="L158" s="436"/>
      <c r="O158" s="444">
        <v>1</v>
      </c>
    </row>
    <row r="159" spans="1:80" ht="12.75">
      <c r="A159" s="461">
        <v>51</v>
      </c>
      <c r="B159" s="460" t="s">
        <v>654</v>
      </c>
      <c r="C159" s="459" t="s">
        <v>655</v>
      </c>
      <c r="D159" s="458" t="s">
        <v>231</v>
      </c>
      <c r="E159" s="457">
        <v>28.5</v>
      </c>
      <c r="F159" s="457"/>
      <c r="G159" s="456">
        <f>E159*F159</f>
        <v>0</v>
      </c>
      <c r="H159" s="455">
        <v>0.08545</v>
      </c>
      <c r="I159" s="454">
        <f>E159*H159</f>
        <v>2.4353249999999997</v>
      </c>
      <c r="J159" s="570">
        <v>0</v>
      </c>
      <c r="K159" s="571">
        <f>E159*J159</f>
        <v>0</v>
      </c>
      <c r="L159" s="436"/>
      <c r="O159" s="444">
        <v>2</v>
      </c>
      <c r="AA159" s="434">
        <v>1</v>
      </c>
      <c r="AB159" s="434">
        <v>1</v>
      </c>
      <c r="AC159" s="434">
        <v>1</v>
      </c>
      <c r="AZ159" s="434">
        <v>1</v>
      </c>
      <c r="BA159" s="434">
        <f>IF(AZ159=1,G159,0)</f>
        <v>0</v>
      </c>
      <c r="BB159" s="434">
        <f>IF(AZ159=2,G159,0)</f>
        <v>0</v>
      </c>
      <c r="BC159" s="434">
        <f>IF(AZ159=3,G159,0)</f>
        <v>0</v>
      </c>
      <c r="BD159" s="434">
        <f>IF(AZ159=4,G159,0)</f>
        <v>0</v>
      </c>
      <c r="BE159" s="434">
        <f>IF(AZ159=5,G159,0)</f>
        <v>0</v>
      </c>
      <c r="CA159" s="444">
        <v>1</v>
      </c>
      <c r="CB159" s="444">
        <v>1</v>
      </c>
    </row>
    <row r="160" spans="1:15" ht="12.75">
      <c r="A160" s="478"/>
      <c r="B160" s="477"/>
      <c r="C160" s="1621" t="s">
        <v>656</v>
      </c>
      <c r="D160" s="1589"/>
      <c r="E160" s="476">
        <v>28.5</v>
      </c>
      <c r="F160" s="475"/>
      <c r="G160" s="230"/>
      <c r="H160" s="474"/>
      <c r="I160" s="473"/>
      <c r="J160" s="569"/>
      <c r="K160" s="572"/>
      <c r="L160" s="436"/>
      <c r="M160" s="472" t="s">
        <v>656</v>
      </c>
      <c r="O160" s="444"/>
    </row>
    <row r="161" spans="1:80" ht="12.75">
      <c r="A161" s="461">
        <v>52</v>
      </c>
      <c r="B161" s="460" t="s">
        <v>657</v>
      </c>
      <c r="C161" s="459" t="s">
        <v>658</v>
      </c>
      <c r="D161" s="458" t="s">
        <v>196</v>
      </c>
      <c r="E161" s="457">
        <v>60</v>
      </c>
      <c r="F161" s="457"/>
      <c r="G161" s="456">
        <f>E161*F161</f>
        <v>0</v>
      </c>
      <c r="H161" s="455">
        <v>0.014</v>
      </c>
      <c r="I161" s="454">
        <f>E161*H161</f>
        <v>0.84</v>
      </c>
      <c r="J161" s="570"/>
      <c r="K161" s="571">
        <f>E161*J161</f>
        <v>0</v>
      </c>
      <c r="L161" s="436"/>
      <c r="O161" s="444">
        <v>2</v>
      </c>
      <c r="AA161" s="434">
        <v>3</v>
      </c>
      <c r="AB161" s="434">
        <v>1</v>
      </c>
      <c r="AC161" s="434">
        <v>59217337</v>
      </c>
      <c r="AZ161" s="434">
        <v>1</v>
      </c>
      <c r="BA161" s="434">
        <f>IF(AZ161=1,G161,0)</f>
        <v>0</v>
      </c>
      <c r="BB161" s="434">
        <f>IF(AZ161=2,G161,0)</f>
        <v>0</v>
      </c>
      <c r="BC161" s="434">
        <f>IF(AZ161=3,G161,0)</f>
        <v>0</v>
      </c>
      <c r="BD161" s="434">
        <f>IF(AZ161=4,G161,0)</f>
        <v>0</v>
      </c>
      <c r="BE161" s="434">
        <f>IF(AZ161=5,G161,0)</f>
        <v>0</v>
      </c>
      <c r="CA161" s="444">
        <v>3</v>
      </c>
      <c r="CB161" s="444">
        <v>1</v>
      </c>
    </row>
    <row r="162" spans="1:15" ht="12.75">
      <c r="A162" s="478"/>
      <c r="B162" s="477"/>
      <c r="C162" s="1621" t="s">
        <v>659</v>
      </c>
      <c r="D162" s="1589"/>
      <c r="E162" s="476">
        <v>60</v>
      </c>
      <c r="F162" s="475"/>
      <c r="G162" s="230"/>
      <c r="H162" s="474"/>
      <c r="I162" s="473"/>
      <c r="J162" s="569"/>
      <c r="K162" s="572"/>
      <c r="L162" s="436"/>
      <c r="M162" s="472" t="s">
        <v>659</v>
      </c>
      <c r="O162" s="444"/>
    </row>
    <row r="163" spans="1:57" ht="12.75">
      <c r="A163" s="453"/>
      <c r="B163" s="452" t="s">
        <v>175</v>
      </c>
      <c r="C163" s="451" t="s">
        <v>338</v>
      </c>
      <c r="D163" s="450"/>
      <c r="E163" s="449"/>
      <c r="F163" s="448"/>
      <c r="G163" s="447">
        <f>SUM(G158:G162)</f>
        <v>0</v>
      </c>
      <c r="H163" s="446"/>
      <c r="I163" s="445">
        <f>SUM(I158:I162)</f>
        <v>3.2753249999999996</v>
      </c>
      <c r="J163" s="568"/>
      <c r="K163" s="576">
        <f>SUM(K158:K162)</f>
        <v>0</v>
      </c>
      <c r="L163" s="436"/>
      <c r="O163" s="444">
        <v>4</v>
      </c>
      <c r="BA163" s="443">
        <f>SUM(BA158:BA162)</f>
        <v>0</v>
      </c>
      <c r="BB163" s="443">
        <f>SUM(BB158:BB162)</f>
        <v>0</v>
      </c>
      <c r="BC163" s="443">
        <f>SUM(BC158:BC162)</f>
        <v>0</v>
      </c>
      <c r="BD163" s="443">
        <f>SUM(BD158:BD162)</f>
        <v>0</v>
      </c>
      <c r="BE163" s="443">
        <f>SUM(BE158:BE162)</f>
        <v>0</v>
      </c>
    </row>
    <row r="164" spans="1:15" ht="12.75">
      <c r="A164" s="471" t="s">
        <v>140</v>
      </c>
      <c r="B164" s="470" t="s">
        <v>202</v>
      </c>
      <c r="C164" s="469" t="s">
        <v>203</v>
      </c>
      <c r="D164" s="468"/>
      <c r="E164" s="467"/>
      <c r="F164" s="467"/>
      <c r="G164" s="466"/>
      <c r="H164" s="465"/>
      <c r="I164" s="464"/>
      <c r="J164" s="568"/>
      <c r="K164" s="569"/>
      <c r="L164" s="436"/>
      <c r="O164" s="444">
        <v>1</v>
      </c>
    </row>
    <row r="165" spans="1:80" ht="12.75">
      <c r="A165" s="461">
        <v>53</v>
      </c>
      <c r="B165" s="460" t="s">
        <v>660</v>
      </c>
      <c r="C165" s="459" t="s">
        <v>661</v>
      </c>
      <c r="D165" s="458" t="s">
        <v>145</v>
      </c>
      <c r="E165" s="457">
        <v>180.56</v>
      </c>
      <c r="F165" s="457"/>
      <c r="G165" s="456">
        <f>E165*F165</f>
        <v>0</v>
      </c>
      <c r="H165" s="455">
        <v>0.00158</v>
      </c>
      <c r="I165" s="454">
        <f>E165*H165</f>
        <v>0.2852848</v>
      </c>
      <c r="J165" s="570">
        <v>0</v>
      </c>
      <c r="K165" s="571">
        <f>E165*J165</f>
        <v>0</v>
      </c>
      <c r="L165" s="436"/>
      <c r="O165" s="444">
        <v>2</v>
      </c>
      <c r="AA165" s="434">
        <v>1</v>
      </c>
      <c r="AB165" s="434">
        <v>1</v>
      </c>
      <c r="AC165" s="434">
        <v>1</v>
      </c>
      <c r="AZ165" s="434">
        <v>1</v>
      </c>
      <c r="BA165" s="434">
        <f>IF(AZ165=1,G165,0)</f>
        <v>0</v>
      </c>
      <c r="BB165" s="434">
        <f>IF(AZ165=2,G165,0)</f>
        <v>0</v>
      </c>
      <c r="BC165" s="434">
        <f>IF(AZ165=3,G165,0)</f>
        <v>0</v>
      </c>
      <c r="BD165" s="434">
        <f>IF(AZ165=4,G165,0)</f>
        <v>0</v>
      </c>
      <c r="BE165" s="434">
        <f>IF(AZ165=5,G165,0)</f>
        <v>0</v>
      </c>
      <c r="CA165" s="444">
        <v>1</v>
      </c>
      <c r="CB165" s="444">
        <v>1</v>
      </c>
    </row>
    <row r="166" spans="1:15" ht="12.75">
      <c r="A166" s="478"/>
      <c r="B166" s="477"/>
      <c r="C166" s="1621" t="s">
        <v>662</v>
      </c>
      <c r="D166" s="1589"/>
      <c r="E166" s="476">
        <v>82.8</v>
      </c>
      <c r="F166" s="475"/>
      <c r="G166" s="230"/>
      <c r="H166" s="474"/>
      <c r="I166" s="473"/>
      <c r="J166" s="569"/>
      <c r="K166" s="572"/>
      <c r="L166" s="436"/>
      <c r="M166" s="472" t="s">
        <v>662</v>
      </c>
      <c r="O166" s="444"/>
    </row>
    <row r="167" spans="1:15" ht="12.75">
      <c r="A167" s="478"/>
      <c r="B167" s="477"/>
      <c r="C167" s="1621" t="s">
        <v>663</v>
      </c>
      <c r="D167" s="1589"/>
      <c r="E167" s="476">
        <v>97.76</v>
      </c>
      <c r="F167" s="475"/>
      <c r="G167" s="230"/>
      <c r="H167" s="474"/>
      <c r="I167" s="473"/>
      <c r="J167" s="569"/>
      <c r="K167" s="572"/>
      <c r="L167" s="436"/>
      <c r="M167" s="472" t="s">
        <v>663</v>
      </c>
      <c r="O167" s="444"/>
    </row>
    <row r="168" spans="1:57" ht="12.75">
      <c r="A168" s="453"/>
      <c r="B168" s="452" t="s">
        <v>175</v>
      </c>
      <c r="C168" s="451" t="s">
        <v>207</v>
      </c>
      <c r="D168" s="450"/>
      <c r="E168" s="449"/>
      <c r="F168" s="448"/>
      <c r="G168" s="447">
        <f>SUM(G164:G167)</f>
        <v>0</v>
      </c>
      <c r="H168" s="446"/>
      <c r="I168" s="445">
        <f>SUM(I164:I167)</f>
        <v>0.2852848</v>
      </c>
      <c r="J168" s="568"/>
      <c r="K168" s="576">
        <f>SUM(K164:K167)</f>
        <v>0</v>
      </c>
      <c r="L168" s="436"/>
      <c r="O168" s="444">
        <v>4</v>
      </c>
      <c r="BA168" s="443">
        <f>SUM(BA164:BA167)</f>
        <v>0</v>
      </c>
      <c r="BB168" s="443">
        <f>SUM(BB164:BB167)</f>
        <v>0</v>
      </c>
      <c r="BC168" s="443">
        <f>SUM(BC164:BC167)</f>
        <v>0</v>
      </c>
      <c r="BD168" s="443">
        <f>SUM(BD164:BD167)</f>
        <v>0</v>
      </c>
      <c r="BE168" s="443">
        <f>SUM(BE164:BE167)</f>
        <v>0</v>
      </c>
    </row>
    <row r="169" spans="1:15" ht="12.75">
      <c r="A169" s="471" t="s">
        <v>140</v>
      </c>
      <c r="B169" s="470" t="s">
        <v>208</v>
      </c>
      <c r="C169" s="469" t="s">
        <v>209</v>
      </c>
      <c r="D169" s="468"/>
      <c r="E169" s="467"/>
      <c r="F169" s="467"/>
      <c r="G169" s="466"/>
      <c r="H169" s="465"/>
      <c r="I169" s="464"/>
      <c r="J169" s="568"/>
      <c r="K169" s="569"/>
      <c r="L169" s="436"/>
      <c r="O169" s="444">
        <v>1</v>
      </c>
    </row>
    <row r="170" spans="1:80" ht="12.75">
      <c r="A170" s="461">
        <v>54</v>
      </c>
      <c r="B170" s="460" t="s">
        <v>210</v>
      </c>
      <c r="C170" s="459" t="s">
        <v>211</v>
      </c>
      <c r="D170" s="458" t="s">
        <v>145</v>
      </c>
      <c r="E170" s="457">
        <v>43.12</v>
      </c>
      <c r="F170" s="457"/>
      <c r="G170" s="456">
        <f>E170*F170</f>
        <v>0</v>
      </c>
      <c r="H170" s="455">
        <v>4E-05</v>
      </c>
      <c r="I170" s="454">
        <f>E170*H170</f>
        <v>0.0017248</v>
      </c>
      <c r="J170" s="570">
        <v>0</v>
      </c>
      <c r="K170" s="571">
        <f>E170*J170</f>
        <v>0</v>
      </c>
      <c r="L170" s="436"/>
      <c r="O170" s="444">
        <v>2</v>
      </c>
      <c r="AA170" s="434">
        <v>1</v>
      </c>
      <c r="AB170" s="434">
        <v>1</v>
      </c>
      <c r="AC170" s="434">
        <v>1</v>
      </c>
      <c r="AZ170" s="434">
        <v>1</v>
      </c>
      <c r="BA170" s="434">
        <f>IF(AZ170=1,G170,0)</f>
        <v>0</v>
      </c>
      <c r="BB170" s="434">
        <f>IF(AZ170=2,G170,0)</f>
        <v>0</v>
      </c>
      <c r="BC170" s="434">
        <f>IF(AZ170=3,G170,0)</f>
        <v>0</v>
      </c>
      <c r="BD170" s="434">
        <f>IF(AZ170=4,G170,0)</f>
        <v>0</v>
      </c>
      <c r="BE170" s="434">
        <f>IF(AZ170=5,G170,0)</f>
        <v>0</v>
      </c>
      <c r="CA170" s="444">
        <v>1</v>
      </c>
      <c r="CB170" s="444">
        <v>1</v>
      </c>
    </row>
    <row r="171" spans="1:15" ht="12.75">
      <c r="A171" s="478"/>
      <c r="B171" s="477"/>
      <c r="C171" s="1621" t="s">
        <v>664</v>
      </c>
      <c r="D171" s="1589"/>
      <c r="E171" s="476">
        <v>43.12</v>
      </c>
      <c r="F171" s="475"/>
      <c r="G171" s="230"/>
      <c r="H171" s="474"/>
      <c r="I171" s="473"/>
      <c r="J171" s="569"/>
      <c r="K171" s="572"/>
      <c r="L171" s="436"/>
      <c r="M171" s="472" t="s">
        <v>664</v>
      </c>
      <c r="O171" s="444"/>
    </row>
    <row r="172" spans="1:57" ht="12.75">
      <c r="A172" s="453"/>
      <c r="B172" s="452" t="s">
        <v>175</v>
      </c>
      <c r="C172" s="451" t="s">
        <v>212</v>
      </c>
      <c r="D172" s="450"/>
      <c r="E172" s="449"/>
      <c r="F172" s="448"/>
      <c r="G172" s="447">
        <f>SUM(G169:G171)</f>
        <v>0</v>
      </c>
      <c r="H172" s="446"/>
      <c r="I172" s="445">
        <f>SUM(I169:I171)</f>
        <v>0.0017248</v>
      </c>
      <c r="J172" s="568"/>
      <c r="K172" s="576">
        <f>SUM(K169:K171)</f>
        <v>0</v>
      </c>
      <c r="L172" s="436"/>
      <c r="O172" s="444">
        <v>4</v>
      </c>
      <c r="BA172" s="443">
        <f>SUM(BA169:BA171)</f>
        <v>0</v>
      </c>
      <c r="BB172" s="443">
        <f>SUM(BB169:BB171)</f>
        <v>0</v>
      </c>
      <c r="BC172" s="443">
        <f>SUM(BC169:BC171)</f>
        <v>0</v>
      </c>
      <c r="BD172" s="443">
        <f>SUM(BD169:BD171)</f>
        <v>0</v>
      </c>
      <c r="BE172" s="443">
        <f>SUM(BE169:BE171)</f>
        <v>0</v>
      </c>
    </row>
    <row r="173" spans="1:15" ht="12.75">
      <c r="A173" s="471" t="s">
        <v>140</v>
      </c>
      <c r="B173" s="470" t="s">
        <v>234</v>
      </c>
      <c r="C173" s="469" t="s">
        <v>235</v>
      </c>
      <c r="D173" s="468"/>
      <c r="E173" s="467"/>
      <c r="F173" s="467"/>
      <c r="G173" s="466"/>
      <c r="H173" s="465"/>
      <c r="I173" s="464"/>
      <c r="J173" s="568"/>
      <c r="K173" s="569"/>
      <c r="L173" s="436"/>
      <c r="O173" s="444">
        <v>1</v>
      </c>
    </row>
    <row r="174" spans="1:80" ht="12.75">
      <c r="A174" s="461">
        <v>55</v>
      </c>
      <c r="B174" s="460" t="s">
        <v>665</v>
      </c>
      <c r="C174" s="459" t="s">
        <v>666</v>
      </c>
      <c r="D174" s="458" t="s">
        <v>166</v>
      </c>
      <c r="E174" s="457">
        <v>112.159758819</v>
      </c>
      <c r="F174" s="457"/>
      <c r="G174" s="456">
        <f>E174*F174</f>
        <v>0</v>
      </c>
      <c r="H174" s="455">
        <v>0</v>
      </c>
      <c r="I174" s="454">
        <f>E174*H174</f>
        <v>0</v>
      </c>
      <c r="J174" s="570"/>
      <c r="K174" s="571">
        <f>E174*J174</f>
        <v>0</v>
      </c>
      <c r="L174" s="436"/>
      <c r="O174" s="444">
        <v>2</v>
      </c>
      <c r="AA174" s="434">
        <v>7</v>
      </c>
      <c r="AB174" s="434">
        <v>1</v>
      </c>
      <c r="AC174" s="434">
        <v>2</v>
      </c>
      <c r="AZ174" s="434">
        <v>1</v>
      </c>
      <c r="BA174" s="434">
        <f>IF(AZ174=1,G174,0)</f>
        <v>0</v>
      </c>
      <c r="BB174" s="434">
        <f>IF(AZ174=2,G174,0)</f>
        <v>0</v>
      </c>
      <c r="BC174" s="434">
        <f>IF(AZ174=3,G174,0)</f>
        <v>0</v>
      </c>
      <c r="BD174" s="434">
        <f>IF(AZ174=4,G174,0)</f>
        <v>0</v>
      </c>
      <c r="BE174" s="434">
        <f>IF(AZ174=5,G174,0)</f>
        <v>0</v>
      </c>
      <c r="CA174" s="444">
        <v>7</v>
      </c>
      <c r="CB174" s="444">
        <v>1</v>
      </c>
    </row>
    <row r="175" spans="1:57" ht="12.75">
      <c r="A175" s="453"/>
      <c r="B175" s="452" t="s">
        <v>175</v>
      </c>
      <c r="C175" s="451" t="s">
        <v>238</v>
      </c>
      <c r="D175" s="450"/>
      <c r="E175" s="449"/>
      <c r="F175" s="448"/>
      <c r="G175" s="447">
        <f>SUM(G173:G174)</f>
        <v>0</v>
      </c>
      <c r="H175" s="446"/>
      <c r="I175" s="445">
        <f>SUM(I173:I174)</f>
        <v>0</v>
      </c>
      <c r="J175" s="568"/>
      <c r="K175" s="576">
        <f>SUM(K173:K174)</f>
        <v>0</v>
      </c>
      <c r="L175" s="436"/>
      <c r="O175" s="444">
        <v>4</v>
      </c>
      <c r="BA175" s="443">
        <f>SUM(BA173:BA174)</f>
        <v>0</v>
      </c>
      <c r="BB175" s="443">
        <f>SUM(BB173:BB174)</f>
        <v>0</v>
      </c>
      <c r="BC175" s="443">
        <f>SUM(BC173:BC174)</f>
        <v>0</v>
      </c>
      <c r="BD175" s="443">
        <f>SUM(BD173:BD174)</f>
        <v>0</v>
      </c>
      <c r="BE175" s="443">
        <f>SUM(BE173:BE174)</f>
        <v>0</v>
      </c>
    </row>
    <row r="176" spans="1:15" ht="12.75">
      <c r="A176" s="471" t="s">
        <v>140</v>
      </c>
      <c r="B176" s="470" t="s">
        <v>667</v>
      </c>
      <c r="C176" s="469" t="s">
        <v>668</v>
      </c>
      <c r="D176" s="468"/>
      <c r="E176" s="467"/>
      <c r="F176" s="467"/>
      <c r="G176" s="466"/>
      <c r="H176" s="465"/>
      <c r="I176" s="464"/>
      <c r="J176" s="568"/>
      <c r="K176" s="569"/>
      <c r="L176" s="436"/>
      <c r="O176" s="444">
        <v>1</v>
      </c>
    </row>
    <row r="177" spans="1:80" ht="20.4">
      <c r="A177" s="461">
        <v>56</v>
      </c>
      <c r="B177" s="460" t="s">
        <v>669</v>
      </c>
      <c r="C177" s="459" t="s">
        <v>670</v>
      </c>
      <c r="D177" s="458" t="s">
        <v>145</v>
      </c>
      <c r="E177" s="457">
        <v>64.54</v>
      </c>
      <c r="F177" s="457"/>
      <c r="G177" s="456">
        <f>E177*F177</f>
        <v>0</v>
      </c>
      <c r="H177" s="455">
        <v>0.0004</v>
      </c>
      <c r="I177" s="454">
        <f>E177*H177</f>
        <v>0.025816000000000002</v>
      </c>
      <c r="J177" s="570">
        <v>0</v>
      </c>
      <c r="K177" s="571">
        <f>E177*J177</f>
        <v>0</v>
      </c>
      <c r="L177" s="436"/>
      <c r="O177" s="444">
        <v>2</v>
      </c>
      <c r="AA177" s="434">
        <v>1</v>
      </c>
      <c r="AB177" s="434">
        <v>7</v>
      </c>
      <c r="AC177" s="434">
        <v>7</v>
      </c>
      <c r="AZ177" s="434">
        <v>2</v>
      </c>
      <c r="BA177" s="434">
        <f>IF(AZ177=1,G177,0)</f>
        <v>0</v>
      </c>
      <c r="BB177" s="434">
        <f>IF(AZ177=2,G177,0)</f>
        <v>0</v>
      </c>
      <c r="BC177" s="434">
        <f>IF(AZ177=3,G177,0)</f>
        <v>0</v>
      </c>
      <c r="BD177" s="434">
        <f>IF(AZ177=4,G177,0)</f>
        <v>0</v>
      </c>
      <c r="BE177" s="434">
        <f>IF(AZ177=5,G177,0)</f>
        <v>0</v>
      </c>
      <c r="CA177" s="444">
        <v>1</v>
      </c>
      <c r="CB177" s="444">
        <v>7</v>
      </c>
    </row>
    <row r="178" spans="1:15" ht="12.75">
      <c r="A178" s="478"/>
      <c r="B178" s="477"/>
      <c r="C178" s="1621" t="s">
        <v>671</v>
      </c>
      <c r="D178" s="1589"/>
      <c r="E178" s="476">
        <v>61</v>
      </c>
      <c r="F178" s="475"/>
      <c r="G178" s="230"/>
      <c r="H178" s="474"/>
      <c r="I178" s="473"/>
      <c r="J178" s="569"/>
      <c r="K178" s="572"/>
      <c r="L178" s="436"/>
      <c r="M178" s="472" t="s">
        <v>671</v>
      </c>
      <c r="O178" s="444"/>
    </row>
    <row r="179" spans="1:15" ht="12.75">
      <c r="A179" s="478"/>
      <c r="B179" s="477"/>
      <c r="C179" s="1621" t="s">
        <v>672</v>
      </c>
      <c r="D179" s="1589"/>
      <c r="E179" s="476">
        <v>3.54</v>
      </c>
      <c r="F179" s="475"/>
      <c r="G179" s="230"/>
      <c r="H179" s="474"/>
      <c r="I179" s="473"/>
      <c r="J179" s="569"/>
      <c r="K179" s="572"/>
      <c r="L179" s="436"/>
      <c r="M179" s="472" t="s">
        <v>672</v>
      </c>
      <c r="O179" s="444"/>
    </row>
    <row r="180" spans="1:80" ht="20.4">
      <c r="A180" s="461">
        <v>57</v>
      </c>
      <c r="B180" s="460" t="s">
        <v>673</v>
      </c>
      <c r="C180" s="459" t="s">
        <v>674</v>
      </c>
      <c r="D180" s="458" t="s">
        <v>145</v>
      </c>
      <c r="E180" s="457">
        <v>17.12</v>
      </c>
      <c r="F180" s="457"/>
      <c r="G180" s="456">
        <f>E180*F180</f>
        <v>0</v>
      </c>
      <c r="H180" s="455">
        <v>0.00067</v>
      </c>
      <c r="I180" s="454">
        <f>E180*H180</f>
        <v>0.0114704</v>
      </c>
      <c r="J180" s="570">
        <v>0</v>
      </c>
      <c r="K180" s="571">
        <f>E180*J180</f>
        <v>0</v>
      </c>
      <c r="L180" s="436"/>
      <c r="O180" s="444">
        <v>2</v>
      </c>
      <c r="AA180" s="434">
        <v>1</v>
      </c>
      <c r="AB180" s="434">
        <v>7</v>
      </c>
      <c r="AC180" s="434">
        <v>7</v>
      </c>
      <c r="AZ180" s="434">
        <v>2</v>
      </c>
      <c r="BA180" s="434">
        <f>IF(AZ180=1,G180,0)</f>
        <v>0</v>
      </c>
      <c r="BB180" s="434">
        <f>IF(AZ180=2,G180,0)</f>
        <v>0</v>
      </c>
      <c r="BC180" s="434">
        <f>IF(AZ180=3,G180,0)</f>
        <v>0</v>
      </c>
      <c r="BD180" s="434">
        <f>IF(AZ180=4,G180,0)</f>
        <v>0</v>
      </c>
      <c r="BE180" s="434">
        <f>IF(AZ180=5,G180,0)</f>
        <v>0</v>
      </c>
      <c r="CA180" s="444">
        <v>1</v>
      </c>
      <c r="CB180" s="444">
        <v>7</v>
      </c>
    </row>
    <row r="181" spans="1:15" ht="12.75">
      <c r="A181" s="478"/>
      <c r="B181" s="477"/>
      <c r="C181" s="1621" t="s">
        <v>675</v>
      </c>
      <c r="D181" s="1589"/>
      <c r="E181" s="476">
        <v>13.2</v>
      </c>
      <c r="F181" s="475"/>
      <c r="G181" s="230"/>
      <c r="H181" s="474"/>
      <c r="I181" s="473"/>
      <c r="J181" s="569"/>
      <c r="K181" s="572"/>
      <c r="L181" s="436"/>
      <c r="M181" s="472" t="s">
        <v>675</v>
      </c>
      <c r="O181" s="444"/>
    </row>
    <row r="182" spans="1:15" ht="12.75">
      <c r="A182" s="478"/>
      <c r="B182" s="477"/>
      <c r="C182" s="1621" t="s">
        <v>676</v>
      </c>
      <c r="D182" s="1589"/>
      <c r="E182" s="476">
        <v>3.92</v>
      </c>
      <c r="F182" s="475"/>
      <c r="G182" s="230"/>
      <c r="H182" s="474"/>
      <c r="I182" s="473"/>
      <c r="J182" s="569"/>
      <c r="K182" s="572"/>
      <c r="L182" s="436"/>
      <c r="M182" s="472" t="s">
        <v>676</v>
      </c>
      <c r="O182" s="444"/>
    </row>
    <row r="183" spans="1:80" ht="20.4">
      <c r="A183" s="461">
        <v>58</v>
      </c>
      <c r="B183" s="460" t="s">
        <v>677</v>
      </c>
      <c r="C183" s="459" t="s">
        <v>678</v>
      </c>
      <c r="D183" s="458" t="s">
        <v>145</v>
      </c>
      <c r="E183" s="457">
        <v>64.54</v>
      </c>
      <c r="F183" s="457"/>
      <c r="G183" s="456">
        <f>E183*F183</f>
        <v>0</v>
      </c>
      <c r="H183" s="455">
        <v>0.0057</v>
      </c>
      <c r="I183" s="454">
        <f>E183*H183</f>
        <v>0.36787800000000004</v>
      </c>
      <c r="J183" s="570">
        <v>0</v>
      </c>
      <c r="K183" s="571">
        <f>E183*J183</f>
        <v>0</v>
      </c>
      <c r="L183" s="436"/>
      <c r="O183" s="444">
        <v>2</v>
      </c>
      <c r="AA183" s="434">
        <v>1</v>
      </c>
      <c r="AB183" s="434">
        <v>7</v>
      </c>
      <c r="AC183" s="434">
        <v>7</v>
      </c>
      <c r="AZ183" s="434">
        <v>2</v>
      </c>
      <c r="BA183" s="434">
        <f>IF(AZ183=1,G183,0)</f>
        <v>0</v>
      </c>
      <c r="BB183" s="434">
        <f>IF(AZ183=2,G183,0)</f>
        <v>0</v>
      </c>
      <c r="BC183" s="434">
        <f>IF(AZ183=3,G183,0)</f>
        <v>0</v>
      </c>
      <c r="BD183" s="434">
        <f>IF(AZ183=4,G183,0)</f>
        <v>0</v>
      </c>
      <c r="BE183" s="434">
        <f>IF(AZ183=5,G183,0)</f>
        <v>0</v>
      </c>
      <c r="CA183" s="444">
        <v>1</v>
      </c>
      <c r="CB183" s="444">
        <v>7</v>
      </c>
    </row>
    <row r="184" spans="1:15" ht="12.75">
      <c r="A184" s="478"/>
      <c r="B184" s="477"/>
      <c r="C184" s="1621" t="s">
        <v>671</v>
      </c>
      <c r="D184" s="1589"/>
      <c r="E184" s="476">
        <v>61</v>
      </c>
      <c r="F184" s="475"/>
      <c r="G184" s="230"/>
      <c r="H184" s="474"/>
      <c r="I184" s="473"/>
      <c r="J184" s="569"/>
      <c r="K184" s="572"/>
      <c r="L184" s="436"/>
      <c r="M184" s="472" t="s">
        <v>671</v>
      </c>
      <c r="O184" s="444"/>
    </row>
    <row r="185" spans="1:15" ht="12.75">
      <c r="A185" s="478"/>
      <c r="B185" s="477"/>
      <c r="C185" s="1621" t="s">
        <v>672</v>
      </c>
      <c r="D185" s="1589"/>
      <c r="E185" s="476">
        <v>3.54</v>
      </c>
      <c r="F185" s="475"/>
      <c r="G185" s="230"/>
      <c r="H185" s="474"/>
      <c r="I185" s="473"/>
      <c r="J185" s="569"/>
      <c r="K185" s="572"/>
      <c r="L185" s="436"/>
      <c r="M185" s="472" t="s">
        <v>672</v>
      </c>
      <c r="O185" s="444"/>
    </row>
    <row r="186" spans="1:80" ht="20.4">
      <c r="A186" s="461">
        <v>59</v>
      </c>
      <c r="B186" s="460" t="s">
        <v>679</v>
      </c>
      <c r="C186" s="459" t="s">
        <v>680</v>
      </c>
      <c r="D186" s="458" t="s">
        <v>145</v>
      </c>
      <c r="E186" s="457">
        <v>17.12</v>
      </c>
      <c r="F186" s="457"/>
      <c r="G186" s="456">
        <f>E186*F186</f>
        <v>0</v>
      </c>
      <c r="H186" s="455">
        <v>0.0061</v>
      </c>
      <c r="I186" s="454">
        <f>E186*H186</f>
        <v>0.10443200000000001</v>
      </c>
      <c r="J186" s="570">
        <v>0</v>
      </c>
      <c r="K186" s="571">
        <f>E186*J186</f>
        <v>0</v>
      </c>
      <c r="L186" s="436"/>
      <c r="O186" s="444">
        <v>2</v>
      </c>
      <c r="AA186" s="434">
        <v>1</v>
      </c>
      <c r="AB186" s="434">
        <v>7</v>
      </c>
      <c r="AC186" s="434">
        <v>7</v>
      </c>
      <c r="AZ186" s="434">
        <v>2</v>
      </c>
      <c r="BA186" s="434">
        <f>IF(AZ186=1,G186,0)</f>
        <v>0</v>
      </c>
      <c r="BB186" s="434">
        <f>IF(AZ186=2,G186,0)</f>
        <v>0</v>
      </c>
      <c r="BC186" s="434">
        <f>IF(AZ186=3,G186,0)</f>
        <v>0</v>
      </c>
      <c r="BD186" s="434">
        <f>IF(AZ186=4,G186,0)</f>
        <v>0</v>
      </c>
      <c r="BE186" s="434">
        <f>IF(AZ186=5,G186,0)</f>
        <v>0</v>
      </c>
      <c r="CA186" s="444">
        <v>1</v>
      </c>
      <c r="CB186" s="444">
        <v>7</v>
      </c>
    </row>
    <row r="187" spans="1:15" ht="12.75">
      <c r="A187" s="478"/>
      <c r="B187" s="477"/>
      <c r="C187" s="1621" t="s">
        <v>675</v>
      </c>
      <c r="D187" s="1589"/>
      <c r="E187" s="476">
        <v>13.2</v>
      </c>
      <c r="F187" s="475"/>
      <c r="G187" s="230"/>
      <c r="H187" s="474"/>
      <c r="I187" s="473"/>
      <c r="J187" s="569"/>
      <c r="K187" s="572"/>
      <c r="L187" s="436"/>
      <c r="M187" s="472" t="s">
        <v>675</v>
      </c>
      <c r="O187" s="444"/>
    </row>
    <row r="188" spans="1:15" ht="12.75">
      <c r="A188" s="478"/>
      <c r="B188" s="477"/>
      <c r="C188" s="1621" t="s">
        <v>676</v>
      </c>
      <c r="D188" s="1589"/>
      <c r="E188" s="476">
        <v>3.92</v>
      </c>
      <c r="F188" s="475"/>
      <c r="G188" s="230"/>
      <c r="H188" s="474"/>
      <c r="I188" s="473"/>
      <c r="J188" s="569"/>
      <c r="K188" s="572"/>
      <c r="L188" s="436"/>
      <c r="M188" s="472" t="s">
        <v>676</v>
      </c>
      <c r="O188" s="444"/>
    </row>
    <row r="189" spans="1:80" ht="12.75">
      <c r="A189" s="461">
        <v>60</v>
      </c>
      <c r="B189" s="460" t="s">
        <v>681</v>
      </c>
      <c r="C189" s="459" t="s">
        <v>682</v>
      </c>
      <c r="D189" s="458" t="s">
        <v>145</v>
      </c>
      <c r="E189" s="457">
        <v>33.3725</v>
      </c>
      <c r="F189" s="457"/>
      <c r="G189" s="456">
        <f>E189*F189</f>
        <v>0</v>
      </c>
      <c r="H189" s="455">
        <v>0.00021</v>
      </c>
      <c r="I189" s="454">
        <f>E189*H189</f>
        <v>0.007008225000000001</v>
      </c>
      <c r="J189" s="570">
        <v>0</v>
      </c>
      <c r="K189" s="571">
        <f>E189*J189</f>
        <v>0</v>
      </c>
      <c r="L189" s="436"/>
      <c r="O189" s="444">
        <v>2</v>
      </c>
      <c r="AA189" s="434">
        <v>1</v>
      </c>
      <c r="AB189" s="434">
        <v>7</v>
      </c>
      <c r="AC189" s="434">
        <v>7</v>
      </c>
      <c r="AZ189" s="434">
        <v>2</v>
      </c>
      <c r="BA189" s="434">
        <f>IF(AZ189=1,G189,0)</f>
        <v>0</v>
      </c>
      <c r="BB189" s="434">
        <f>IF(AZ189=2,G189,0)</f>
        <v>0</v>
      </c>
      <c r="BC189" s="434">
        <f>IF(AZ189=3,G189,0)</f>
        <v>0</v>
      </c>
      <c r="BD189" s="434">
        <f>IF(AZ189=4,G189,0)</f>
        <v>0</v>
      </c>
      <c r="BE189" s="434">
        <f>IF(AZ189=5,G189,0)</f>
        <v>0</v>
      </c>
      <c r="CA189" s="444">
        <v>1</v>
      </c>
      <c r="CB189" s="444">
        <v>7</v>
      </c>
    </row>
    <row r="190" spans="1:15" ht="12.75">
      <c r="A190" s="478"/>
      <c r="B190" s="477"/>
      <c r="C190" s="1621" t="s">
        <v>683</v>
      </c>
      <c r="D190" s="1589"/>
      <c r="E190" s="476">
        <v>0</v>
      </c>
      <c r="F190" s="475"/>
      <c r="G190" s="230"/>
      <c r="H190" s="474"/>
      <c r="I190" s="473"/>
      <c r="J190" s="569"/>
      <c r="K190" s="572"/>
      <c r="L190" s="436"/>
      <c r="M190" s="472" t="s">
        <v>683</v>
      </c>
      <c r="O190" s="444"/>
    </row>
    <row r="191" spans="1:15" ht="12.75">
      <c r="A191" s="478"/>
      <c r="B191" s="477"/>
      <c r="C191" s="1621" t="s">
        <v>570</v>
      </c>
      <c r="D191" s="1589"/>
      <c r="E191" s="476">
        <v>19.72</v>
      </c>
      <c r="F191" s="475"/>
      <c r="G191" s="230"/>
      <c r="H191" s="474"/>
      <c r="I191" s="473"/>
      <c r="J191" s="569"/>
      <c r="K191" s="572"/>
      <c r="L191" s="436"/>
      <c r="M191" s="472" t="s">
        <v>570</v>
      </c>
      <c r="O191" s="444"/>
    </row>
    <row r="192" spans="1:15" ht="12.75">
      <c r="A192" s="478"/>
      <c r="B192" s="477"/>
      <c r="C192" s="1621" t="s">
        <v>571</v>
      </c>
      <c r="D192" s="1589"/>
      <c r="E192" s="476">
        <v>3.9775</v>
      </c>
      <c r="F192" s="475"/>
      <c r="G192" s="230"/>
      <c r="H192" s="474"/>
      <c r="I192" s="473"/>
      <c r="J192" s="569"/>
      <c r="K192" s="572"/>
      <c r="L192" s="436"/>
      <c r="M192" s="472" t="s">
        <v>571</v>
      </c>
      <c r="O192" s="444"/>
    </row>
    <row r="193" spans="1:15" ht="12.75">
      <c r="A193" s="478"/>
      <c r="B193" s="477"/>
      <c r="C193" s="1621" t="s">
        <v>572</v>
      </c>
      <c r="D193" s="1589"/>
      <c r="E193" s="476">
        <v>2.15</v>
      </c>
      <c r="F193" s="475"/>
      <c r="G193" s="230"/>
      <c r="H193" s="474"/>
      <c r="I193" s="473"/>
      <c r="J193" s="569"/>
      <c r="K193" s="572"/>
      <c r="L193" s="436"/>
      <c r="M193" s="472" t="s">
        <v>572</v>
      </c>
      <c r="O193" s="444"/>
    </row>
    <row r="194" spans="1:15" ht="12.75">
      <c r="A194" s="478"/>
      <c r="B194" s="477"/>
      <c r="C194" s="1621" t="s">
        <v>573</v>
      </c>
      <c r="D194" s="1589"/>
      <c r="E194" s="476">
        <v>3.7625</v>
      </c>
      <c r="F194" s="475"/>
      <c r="G194" s="230"/>
      <c r="H194" s="474"/>
      <c r="I194" s="473"/>
      <c r="J194" s="569"/>
      <c r="K194" s="572"/>
      <c r="L194" s="436"/>
      <c r="M194" s="472" t="s">
        <v>573</v>
      </c>
      <c r="O194" s="444"/>
    </row>
    <row r="195" spans="1:15" ht="12.75">
      <c r="A195" s="478"/>
      <c r="B195" s="477"/>
      <c r="C195" s="1621" t="s">
        <v>574</v>
      </c>
      <c r="D195" s="1589"/>
      <c r="E195" s="476">
        <v>3.7625</v>
      </c>
      <c r="F195" s="475"/>
      <c r="G195" s="230"/>
      <c r="H195" s="474"/>
      <c r="I195" s="473"/>
      <c r="J195" s="569"/>
      <c r="K195" s="572"/>
      <c r="L195" s="436"/>
      <c r="M195" s="472" t="s">
        <v>574</v>
      </c>
      <c r="O195" s="444"/>
    </row>
    <row r="196" spans="1:80" ht="12.75">
      <c r="A196" s="461">
        <v>61</v>
      </c>
      <c r="B196" s="460" t="s">
        <v>684</v>
      </c>
      <c r="C196" s="459" t="s">
        <v>685</v>
      </c>
      <c r="D196" s="458" t="s">
        <v>145</v>
      </c>
      <c r="E196" s="457">
        <v>33.3725</v>
      </c>
      <c r="F196" s="457"/>
      <c r="G196" s="456">
        <f>E196*F196</f>
        <v>0</v>
      </c>
      <c r="H196" s="455">
        <v>0.00126</v>
      </c>
      <c r="I196" s="454">
        <f>E196*H196</f>
        <v>0.042049350000000006</v>
      </c>
      <c r="J196" s="570">
        <v>0</v>
      </c>
      <c r="K196" s="571">
        <f>E196*J196</f>
        <v>0</v>
      </c>
      <c r="L196" s="436"/>
      <c r="O196" s="444">
        <v>2</v>
      </c>
      <c r="AA196" s="434">
        <v>1</v>
      </c>
      <c r="AB196" s="434">
        <v>7</v>
      </c>
      <c r="AC196" s="434">
        <v>7</v>
      </c>
      <c r="AZ196" s="434">
        <v>2</v>
      </c>
      <c r="BA196" s="434">
        <f>IF(AZ196=1,G196,0)</f>
        <v>0</v>
      </c>
      <c r="BB196" s="434">
        <f>IF(AZ196=2,G196,0)</f>
        <v>0</v>
      </c>
      <c r="BC196" s="434">
        <f>IF(AZ196=3,G196,0)</f>
        <v>0</v>
      </c>
      <c r="BD196" s="434">
        <f>IF(AZ196=4,G196,0)</f>
        <v>0</v>
      </c>
      <c r="BE196" s="434">
        <f>IF(AZ196=5,G196,0)</f>
        <v>0</v>
      </c>
      <c r="CA196" s="444">
        <v>1</v>
      </c>
      <c r="CB196" s="444">
        <v>7</v>
      </c>
    </row>
    <row r="197" spans="1:15" ht="12.75">
      <c r="A197" s="478"/>
      <c r="B197" s="477"/>
      <c r="C197" s="1621" t="s">
        <v>683</v>
      </c>
      <c r="D197" s="1589"/>
      <c r="E197" s="476">
        <v>0</v>
      </c>
      <c r="F197" s="475"/>
      <c r="G197" s="230"/>
      <c r="H197" s="474"/>
      <c r="I197" s="473"/>
      <c r="J197" s="569"/>
      <c r="K197" s="572"/>
      <c r="L197" s="436"/>
      <c r="M197" s="472" t="s">
        <v>683</v>
      </c>
      <c r="O197" s="444"/>
    </row>
    <row r="198" spans="1:15" ht="12.75">
      <c r="A198" s="478"/>
      <c r="B198" s="477"/>
      <c r="C198" s="1621" t="s">
        <v>570</v>
      </c>
      <c r="D198" s="1589"/>
      <c r="E198" s="476">
        <v>19.72</v>
      </c>
      <c r="F198" s="475"/>
      <c r="G198" s="230"/>
      <c r="H198" s="474"/>
      <c r="I198" s="473"/>
      <c r="J198" s="569"/>
      <c r="K198" s="572"/>
      <c r="L198" s="436"/>
      <c r="M198" s="472" t="s">
        <v>570</v>
      </c>
      <c r="O198" s="444"/>
    </row>
    <row r="199" spans="1:15" ht="12.75">
      <c r="A199" s="478"/>
      <c r="B199" s="477"/>
      <c r="C199" s="1621" t="s">
        <v>571</v>
      </c>
      <c r="D199" s="1589"/>
      <c r="E199" s="476">
        <v>3.9775</v>
      </c>
      <c r="F199" s="475"/>
      <c r="G199" s="230"/>
      <c r="H199" s="474"/>
      <c r="I199" s="473"/>
      <c r="J199" s="569"/>
      <c r="K199" s="572"/>
      <c r="L199" s="436"/>
      <c r="M199" s="472" t="s">
        <v>571</v>
      </c>
      <c r="O199" s="444"/>
    </row>
    <row r="200" spans="1:15" ht="12.75">
      <c r="A200" s="478"/>
      <c r="B200" s="477"/>
      <c r="C200" s="1621" t="s">
        <v>572</v>
      </c>
      <c r="D200" s="1589"/>
      <c r="E200" s="476">
        <v>2.15</v>
      </c>
      <c r="F200" s="475"/>
      <c r="G200" s="230"/>
      <c r="H200" s="474"/>
      <c r="I200" s="473"/>
      <c r="J200" s="569"/>
      <c r="K200" s="572"/>
      <c r="L200" s="436"/>
      <c r="M200" s="472" t="s">
        <v>572</v>
      </c>
      <c r="O200" s="444"/>
    </row>
    <row r="201" spans="1:15" ht="12.75">
      <c r="A201" s="478"/>
      <c r="B201" s="477"/>
      <c r="C201" s="1621" t="s">
        <v>573</v>
      </c>
      <c r="D201" s="1589"/>
      <c r="E201" s="476">
        <v>3.7625</v>
      </c>
      <c r="F201" s="475"/>
      <c r="G201" s="230"/>
      <c r="H201" s="474"/>
      <c r="I201" s="473"/>
      <c r="J201" s="569"/>
      <c r="K201" s="572"/>
      <c r="L201" s="436"/>
      <c r="M201" s="472" t="s">
        <v>573</v>
      </c>
      <c r="O201" s="444"/>
    </row>
    <row r="202" spans="1:15" ht="12.75">
      <c r="A202" s="478"/>
      <c r="B202" s="477"/>
      <c r="C202" s="1621" t="s">
        <v>574</v>
      </c>
      <c r="D202" s="1589"/>
      <c r="E202" s="476">
        <v>3.7625</v>
      </c>
      <c r="F202" s="475"/>
      <c r="G202" s="230"/>
      <c r="H202" s="474"/>
      <c r="I202" s="473"/>
      <c r="J202" s="569"/>
      <c r="K202" s="572"/>
      <c r="L202" s="436"/>
      <c r="M202" s="472" t="s">
        <v>574</v>
      </c>
      <c r="O202" s="444"/>
    </row>
    <row r="203" spans="1:80" ht="12.75">
      <c r="A203" s="461">
        <v>62</v>
      </c>
      <c r="B203" s="460" t="s">
        <v>686</v>
      </c>
      <c r="C203" s="459" t="s">
        <v>687</v>
      </c>
      <c r="D203" s="458" t="s">
        <v>231</v>
      </c>
      <c r="E203" s="457">
        <v>49.3</v>
      </c>
      <c r="F203" s="457"/>
      <c r="G203" s="456">
        <f>E203*F203</f>
        <v>0</v>
      </c>
      <c r="H203" s="455">
        <v>0.00032</v>
      </c>
      <c r="I203" s="454">
        <f>E203*H203</f>
        <v>0.015776000000000002</v>
      </c>
      <c r="J203" s="570">
        <v>0</v>
      </c>
      <c r="K203" s="571">
        <f>E203*J203</f>
        <v>0</v>
      </c>
      <c r="L203" s="436"/>
      <c r="O203" s="444">
        <v>2</v>
      </c>
      <c r="AA203" s="434">
        <v>1</v>
      </c>
      <c r="AB203" s="434">
        <v>7</v>
      </c>
      <c r="AC203" s="434">
        <v>7</v>
      </c>
      <c r="AZ203" s="434">
        <v>2</v>
      </c>
      <c r="BA203" s="434">
        <f>IF(AZ203=1,G203,0)</f>
        <v>0</v>
      </c>
      <c r="BB203" s="434">
        <f>IF(AZ203=2,G203,0)</f>
        <v>0</v>
      </c>
      <c r="BC203" s="434">
        <f>IF(AZ203=3,G203,0)</f>
        <v>0</v>
      </c>
      <c r="BD203" s="434">
        <f>IF(AZ203=4,G203,0)</f>
        <v>0</v>
      </c>
      <c r="BE203" s="434">
        <f>IF(AZ203=5,G203,0)</f>
        <v>0</v>
      </c>
      <c r="CA203" s="444">
        <v>1</v>
      </c>
      <c r="CB203" s="444">
        <v>7</v>
      </c>
    </row>
    <row r="204" spans="1:15" ht="12.75">
      <c r="A204" s="478"/>
      <c r="B204" s="477"/>
      <c r="C204" s="1621" t="s">
        <v>683</v>
      </c>
      <c r="D204" s="1589"/>
      <c r="E204" s="476">
        <v>0</v>
      </c>
      <c r="F204" s="475"/>
      <c r="G204" s="230"/>
      <c r="H204" s="474"/>
      <c r="I204" s="473"/>
      <c r="J204" s="569"/>
      <c r="K204" s="572"/>
      <c r="L204" s="436"/>
      <c r="M204" s="472" t="s">
        <v>683</v>
      </c>
      <c r="O204" s="444"/>
    </row>
    <row r="205" spans="1:15" ht="12.75">
      <c r="A205" s="478"/>
      <c r="B205" s="477"/>
      <c r="C205" s="1621" t="s">
        <v>688</v>
      </c>
      <c r="D205" s="1589"/>
      <c r="E205" s="476">
        <v>19.4</v>
      </c>
      <c r="F205" s="475"/>
      <c r="G205" s="230"/>
      <c r="H205" s="474"/>
      <c r="I205" s="473"/>
      <c r="J205" s="569"/>
      <c r="K205" s="572"/>
      <c r="L205" s="436"/>
      <c r="M205" s="472" t="s">
        <v>688</v>
      </c>
      <c r="O205" s="444"/>
    </row>
    <row r="206" spans="1:15" ht="12.75">
      <c r="A206" s="478"/>
      <c r="B206" s="477"/>
      <c r="C206" s="1621" t="s">
        <v>689</v>
      </c>
      <c r="D206" s="1589"/>
      <c r="E206" s="476">
        <v>8</v>
      </c>
      <c r="F206" s="475"/>
      <c r="G206" s="230"/>
      <c r="H206" s="474"/>
      <c r="I206" s="473"/>
      <c r="J206" s="569"/>
      <c r="K206" s="572"/>
      <c r="L206" s="436"/>
      <c r="M206" s="472" t="s">
        <v>689</v>
      </c>
      <c r="O206" s="444"/>
    </row>
    <row r="207" spans="1:15" ht="12.75">
      <c r="A207" s="478"/>
      <c r="B207" s="477"/>
      <c r="C207" s="1621" t="s">
        <v>690</v>
      </c>
      <c r="D207" s="1589"/>
      <c r="E207" s="476">
        <v>6.3</v>
      </c>
      <c r="F207" s="475"/>
      <c r="G207" s="230"/>
      <c r="H207" s="474"/>
      <c r="I207" s="473"/>
      <c r="J207" s="569"/>
      <c r="K207" s="572"/>
      <c r="L207" s="436"/>
      <c r="M207" s="472" t="s">
        <v>690</v>
      </c>
      <c r="O207" s="444"/>
    </row>
    <row r="208" spans="1:15" ht="12.75">
      <c r="A208" s="478"/>
      <c r="B208" s="477"/>
      <c r="C208" s="1621" t="s">
        <v>691</v>
      </c>
      <c r="D208" s="1589"/>
      <c r="E208" s="476">
        <v>7.8</v>
      </c>
      <c r="F208" s="475"/>
      <c r="G208" s="230"/>
      <c r="H208" s="474"/>
      <c r="I208" s="473"/>
      <c r="J208" s="569"/>
      <c r="K208" s="572"/>
      <c r="L208" s="436"/>
      <c r="M208" s="472" t="s">
        <v>691</v>
      </c>
      <c r="O208" s="444"/>
    </row>
    <row r="209" spans="1:15" ht="12.75">
      <c r="A209" s="478"/>
      <c r="B209" s="477"/>
      <c r="C209" s="1621" t="s">
        <v>692</v>
      </c>
      <c r="D209" s="1589"/>
      <c r="E209" s="476">
        <v>7.8</v>
      </c>
      <c r="F209" s="475"/>
      <c r="G209" s="230"/>
      <c r="H209" s="474"/>
      <c r="I209" s="473"/>
      <c r="J209" s="569"/>
      <c r="K209" s="572"/>
      <c r="L209" s="436"/>
      <c r="M209" s="472" t="s">
        <v>692</v>
      </c>
      <c r="O209" s="444"/>
    </row>
    <row r="210" spans="1:80" ht="12.75">
      <c r="A210" s="461">
        <v>63</v>
      </c>
      <c r="B210" s="460" t="s">
        <v>693</v>
      </c>
      <c r="C210" s="459" t="s">
        <v>694</v>
      </c>
      <c r="D210" s="458" t="s">
        <v>145</v>
      </c>
      <c r="E210" s="457">
        <v>11.18</v>
      </c>
      <c r="F210" s="457"/>
      <c r="G210" s="456">
        <f>E210*F210</f>
        <v>0</v>
      </c>
      <c r="H210" s="455">
        <v>0</v>
      </c>
      <c r="I210" s="454">
        <f>E210*H210</f>
        <v>0</v>
      </c>
      <c r="J210" s="570">
        <v>0</v>
      </c>
      <c r="K210" s="571">
        <f>E210*J210</f>
        <v>0</v>
      </c>
      <c r="L210" s="436"/>
      <c r="O210" s="444">
        <v>2</v>
      </c>
      <c r="AA210" s="434">
        <v>1</v>
      </c>
      <c r="AB210" s="434">
        <v>7</v>
      </c>
      <c r="AC210" s="434">
        <v>7</v>
      </c>
      <c r="AZ210" s="434">
        <v>2</v>
      </c>
      <c r="BA210" s="434">
        <f>IF(AZ210=1,G210,0)</f>
        <v>0</v>
      </c>
      <c r="BB210" s="434">
        <f>IF(AZ210=2,G210,0)</f>
        <v>0</v>
      </c>
      <c r="BC210" s="434">
        <f>IF(AZ210=3,G210,0)</f>
        <v>0</v>
      </c>
      <c r="BD210" s="434">
        <f>IF(AZ210=4,G210,0)</f>
        <v>0</v>
      </c>
      <c r="BE210" s="434">
        <f>IF(AZ210=5,G210,0)</f>
        <v>0</v>
      </c>
      <c r="CA210" s="444">
        <v>1</v>
      </c>
      <c r="CB210" s="444">
        <v>7</v>
      </c>
    </row>
    <row r="211" spans="1:15" ht="12.75">
      <c r="A211" s="478"/>
      <c r="B211" s="477"/>
      <c r="C211" s="1621" t="s">
        <v>683</v>
      </c>
      <c r="D211" s="1589"/>
      <c r="E211" s="476">
        <v>0</v>
      </c>
      <c r="F211" s="475"/>
      <c r="G211" s="230"/>
      <c r="H211" s="474"/>
      <c r="I211" s="473"/>
      <c r="J211" s="569"/>
      <c r="K211" s="572"/>
      <c r="L211" s="436"/>
      <c r="M211" s="472" t="s">
        <v>683</v>
      </c>
      <c r="O211" s="444"/>
    </row>
    <row r="212" spans="1:15" ht="12.75">
      <c r="A212" s="478"/>
      <c r="B212" s="477"/>
      <c r="C212" s="1621" t="s">
        <v>567</v>
      </c>
      <c r="D212" s="1589"/>
      <c r="E212" s="476">
        <v>11.18</v>
      </c>
      <c r="F212" s="475"/>
      <c r="G212" s="230"/>
      <c r="H212" s="474"/>
      <c r="I212" s="473"/>
      <c r="J212" s="569"/>
      <c r="K212" s="572"/>
      <c r="L212" s="436"/>
      <c r="M212" s="472" t="s">
        <v>567</v>
      </c>
      <c r="O212" s="444"/>
    </row>
    <row r="213" spans="1:80" ht="12.75">
      <c r="A213" s="461">
        <v>64</v>
      </c>
      <c r="B213" s="460" t="s">
        <v>695</v>
      </c>
      <c r="C213" s="459" t="s">
        <v>696</v>
      </c>
      <c r="D213" s="458" t="s">
        <v>9</v>
      </c>
      <c r="E213" s="457"/>
      <c r="F213" s="457"/>
      <c r="G213" s="456">
        <f>E213*F213</f>
        <v>0</v>
      </c>
      <c r="H213" s="455">
        <v>0</v>
      </c>
      <c r="I213" s="454">
        <f>E213*H213</f>
        <v>0</v>
      </c>
      <c r="J213" s="570"/>
      <c r="K213" s="571">
        <f>E213*J213</f>
        <v>0</v>
      </c>
      <c r="L213" s="436"/>
      <c r="O213" s="444">
        <v>2</v>
      </c>
      <c r="AA213" s="434">
        <v>7</v>
      </c>
      <c r="AB213" s="434">
        <v>1002</v>
      </c>
      <c r="AC213" s="434">
        <v>5</v>
      </c>
      <c r="AZ213" s="434">
        <v>2</v>
      </c>
      <c r="BA213" s="434">
        <f>IF(AZ213=1,G213,0)</f>
        <v>0</v>
      </c>
      <c r="BB213" s="434">
        <f>IF(AZ213=2,G213,0)</f>
        <v>0</v>
      </c>
      <c r="BC213" s="434">
        <f>IF(AZ213=3,G213,0)</f>
        <v>0</v>
      </c>
      <c r="BD213" s="434">
        <f>IF(AZ213=4,G213,0)</f>
        <v>0</v>
      </c>
      <c r="BE213" s="434">
        <f>IF(AZ213=5,G213,0)</f>
        <v>0</v>
      </c>
      <c r="CA213" s="444">
        <v>7</v>
      </c>
      <c r="CB213" s="444">
        <v>1002</v>
      </c>
    </row>
    <row r="214" spans="1:57" ht="12.75">
      <c r="A214" s="453"/>
      <c r="B214" s="452" t="s">
        <v>175</v>
      </c>
      <c r="C214" s="451" t="s">
        <v>697</v>
      </c>
      <c r="D214" s="450"/>
      <c r="E214" s="449"/>
      <c r="F214" s="448"/>
      <c r="G214" s="447">
        <f>SUM(G176:G213)</f>
        <v>0</v>
      </c>
      <c r="H214" s="446"/>
      <c r="I214" s="445">
        <f>SUM(I176:I213)</f>
        <v>0.574429975</v>
      </c>
      <c r="J214" s="568"/>
      <c r="K214" s="576">
        <f>SUM(K176:K213)</f>
        <v>0</v>
      </c>
      <c r="L214" s="436"/>
      <c r="O214" s="444">
        <v>4</v>
      </c>
      <c r="BA214" s="443">
        <f>SUM(BA176:BA213)</f>
        <v>0</v>
      </c>
      <c r="BB214" s="443">
        <f>SUM(BB176:BB213)</f>
        <v>0</v>
      </c>
      <c r="BC214" s="443">
        <f>SUM(BC176:BC213)</f>
        <v>0</v>
      </c>
      <c r="BD214" s="443">
        <f>SUM(BD176:BD213)</f>
        <v>0</v>
      </c>
      <c r="BE214" s="443">
        <f>SUM(BE176:BE213)</f>
        <v>0</v>
      </c>
    </row>
    <row r="215" spans="1:15" ht="12.75">
      <c r="A215" s="471" t="s">
        <v>140</v>
      </c>
      <c r="B215" s="470" t="s">
        <v>698</v>
      </c>
      <c r="C215" s="469" t="s">
        <v>699</v>
      </c>
      <c r="D215" s="468"/>
      <c r="E215" s="467"/>
      <c r="F215" s="467"/>
      <c r="G215" s="466"/>
      <c r="H215" s="465"/>
      <c r="I215" s="464"/>
      <c r="J215" s="568"/>
      <c r="K215" s="569"/>
      <c r="L215" s="436"/>
      <c r="O215" s="444">
        <v>1</v>
      </c>
    </row>
    <row r="216" spans="1:80" ht="20.4">
      <c r="A216" s="461">
        <v>65</v>
      </c>
      <c r="B216" s="460" t="s">
        <v>700</v>
      </c>
      <c r="C216" s="459" t="s">
        <v>701</v>
      </c>
      <c r="D216" s="458" t="s">
        <v>145</v>
      </c>
      <c r="E216" s="457">
        <v>47.84</v>
      </c>
      <c r="F216" s="457"/>
      <c r="G216" s="456">
        <f>E216*F216</f>
        <v>0</v>
      </c>
      <c r="H216" s="455">
        <v>0</v>
      </c>
      <c r="I216" s="454">
        <f>E216*H216</f>
        <v>0</v>
      </c>
      <c r="J216" s="570">
        <v>0</v>
      </c>
      <c r="K216" s="571">
        <f>E216*J216</f>
        <v>0</v>
      </c>
      <c r="L216" s="436"/>
      <c r="O216" s="444">
        <v>2</v>
      </c>
      <c r="AA216" s="434">
        <v>1</v>
      </c>
      <c r="AB216" s="434">
        <v>7</v>
      </c>
      <c r="AC216" s="434">
        <v>7</v>
      </c>
      <c r="AZ216" s="434">
        <v>2</v>
      </c>
      <c r="BA216" s="434">
        <f>IF(AZ216=1,G216,0)</f>
        <v>0</v>
      </c>
      <c r="BB216" s="434">
        <f>IF(AZ216=2,G216,0)</f>
        <v>0</v>
      </c>
      <c r="BC216" s="434">
        <f>IF(AZ216=3,G216,0)</f>
        <v>0</v>
      </c>
      <c r="BD216" s="434">
        <f>IF(AZ216=4,G216,0)</f>
        <v>0</v>
      </c>
      <c r="BE216" s="434">
        <f>IF(AZ216=5,G216,0)</f>
        <v>0</v>
      </c>
      <c r="CA216" s="444">
        <v>1</v>
      </c>
      <c r="CB216" s="444">
        <v>7</v>
      </c>
    </row>
    <row r="217" spans="1:15" ht="12.75">
      <c r="A217" s="478"/>
      <c r="B217" s="477"/>
      <c r="C217" s="1621" t="s">
        <v>702</v>
      </c>
      <c r="D217" s="1589"/>
      <c r="E217" s="476">
        <v>47.84</v>
      </c>
      <c r="F217" s="475"/>
      <c r="G217" s="230"/>
      <c r="H217" s="474"/>
      <c r="I217" s="473"/>
      <c r="J217" s="569"/>
      <c r="K217" s="572"/>
      <c r="L217" s="436"/>
      <c r="M217" s="472" t="s">
        <v>702</v>
      </c>
      <c r="O217" s="444"/>
    </row>
    <row r="218" spans="1:80" ht="20.4">
      <c r="A218" s="461">
        <v>66</v>
      </c>
      <c r="B218" s="460" t="s">
        <v>703</v>
      </c>
      <c r="C218" s="459" t="s">
        <v>704</v>
      </c>
      <c r="D218" s="458" t="s">
        <v>145</v>
      </c>
      <c r="E218" s="457">
        <v>43.12</v>
      </c>
      <c r="F218" s="457"/>
      <c r="G218" s="456">
        <f>E218*F218</f>
        <v>0</v>
      </c>
      <c r="H218" s="455">
        <v>0</v>
      </c>
      <c r="I218" s="454">
        <f>E218*H218</f>
        <v>0</v>
      </c>
      <c r="J218" s="570">
        <v>0</v>
      </c>
      <c r="K218" s="571">
        <f>E218*J218</f>
        <v>0</v>
      </c>
      <c r="L218" s="436"/>
      <c r="O218" s="444">
        <v>2</v>
      </c>
      <c r="AA218" s="434">
        <v>1</v>
      </c>
      <c r="AB218" s="434">
        <v>7</v>
      </c>
      <c r="AC218" s="434">
        <v>7</v>
      </c>
      <c r="AZ218" s="434">
        <v>2</v>
      </c>
      <c r="BA218" s="434">
        <f>IF(AZ218=1,G218,0)</f>
        <v>0</v>
      </c>
      <c r="BB218" s="434">
        <f>IF(AZ218=2,G218,0)</f>
        <v>0</v>
      </c>
      <c r="BC218" s="434">
        <f>IF(AZ218=3,G218,0)</f>
        <v>0</v>
      </c>
      <c r="BD218" s="434">
        <f>IF(AZ218=4,G218,0)</f>
        <v>0</v>
      </c>
      <c r="BE218" s="434">
        <f>IF(AZ218=5,G218,0)</f>
        <v>0</v>
      </c>
      <c r="CA218" s="444">
        <v>1</v>
      </c>
      <c r="CB218" s="444">
        <v>7</v>
      </c>
    </row>
    <row r="219" spans="1:15" ht="12.75">
      <c r="A219" s="478"/>
      <c r="B219" s="477"/>
      <c r="C219" s="1621" t="s">
        <v>645</v>
      </c>
      <c r="D219" s="1589"/>
      <c r="E219" s="476">
        <v>43.12</v>
      </c>
      <c r="F219" s="475"/>
      <c r="G219" s="230"/>
      <c r="H219" s="474"/>
      <c r="I219" s="473"/>
      <c r="J219" s="569"/>
      <c r="K219" s="572"/>
      <c r="L219" s="436"/>
      <c r="M219" s="472" t="s">
        <v>645</v>
      </c>
      <c r="O219" s="444"/>
    </row>
    <row r="220" spans="1:80" ht="12.75">
      <c r="A220" s="461">
        <v>67</v>
      </c>
      <c r="B220" s="460" t="s">
        <v>705</v>
      </c>
      <c r="C220" s="459" t="s">
        <v>706</v>
      </c>
      <c r="D220" s="458" t="s">
        <v>145</v>
      </c>
      <c r="E220" s="457">
        <v>43.12</v>
      </c>
      <c r="F220" s="457"/>
      <c r="G220" s="456">
        <f>E220*F220</f>
        <v>0</v>
      </c>
      <c r="H220" s="455">
        <v>0.00015</v>
      </c>
      <c r="I220" s="454">
        <f>E220*H220</f>
        <v>0.006467999999999999</v>
      </c>
      <c r="J220" s="570">
        <v>0</v>
      </c>
      <c r="K220" s="571">
        <f>E220*J220</f>
        <v>0</v>
      </c>
      <c r="L220" s="436"/>
      <c r="O220" s="444">
        <v>2</v>
      </c>
      <c r="AA220" s="434">
        <v>1</v>
      </c>
      <c r="AB220" s="434">
        <v>0</v>
      </c>
      <c r="AC220" s="434">
        <v>0</v>
      </c>
      <c r="AZ220" s="434">
        <v>2</v>
      </c>
      <c r="BA220" s="434">
        <f>IF(AZ220=1,G220,0)</f>
        <v>0</v>
      </c>
      <c r="BB220" s="434">
        <f>IF(AZ220=2,G220,0)</f>
        <v>0</v>
      </c>
      <c r="BC220" s="434">
        <f>IF(AZ220=3,G220,0)</f>
        <v>0</v>
      </c>
      <c r="BD220" s="434">
        <f>IF(AZ220=4,G220,0)</f>
        <v>0</v>
      </c>
      <c r="BE220" s="434">
        <f>IF(AZ220=5,G220,0)</f>
        <v>0</v>
      </c>
      <c r="CA220" s="444">
        <v>1</v>
      </c>
      <c r="CB220" s="444">
        <v>0</v>
      </c>
    </row>
    <row r="221" spans="1:15" ht="12.75">
      <c r="A221" s="478"/>
      <c r="B221" s="477"/>
      <c r="C221" s="1621" t="s">
        <v>645</v>
      </c>
      <c r="D221" s="1589"/>
      <c r="E221" s="476">
        <v>43.12</v>
      </c>
      <c r="F221" s="475"/>
      <c r="G221" s="230"/>
      <c r="H221" s="474"/>
      <c r="I221" s="473"/>
      <c r="J221" s="569"/>
      <c r="K221" s="572"/>
      <c r="L221" s="436"/>
      <c r="M221" s="472" t="s">
        <v>645</v>
      </c>
      <c r="O221" s="444"/>
    </row>
    <row r="222" spans="1:80" ht="12.75">
      <c r="A222" s="461">
        <v>68</v>
      </c>
      <c r="B222" s="460" t="s">
        <v>707</v>
      </c>
      <c r="C222" s="459" t="s">
        <v>708</v>
      </c>
      <c r="D222" s="458" t="s">
        <v>154</v>
      </c>
      <c r="E222" s="457">
        <v>6.6405</v>
      </c>
      <c r="F222" s="457"/>
      <c r="G222" s="456">
        <f>E222*F222</f>
        <v>0</v>
      </c>
      <c r="H222" s="455">
        <v>0.045</v>
      </c>
      <c r="I222" s="454">
        <f>E222*H222</f>
        <v>0.2988225</v>
      </c>
      <c r="J222" s="570"/>
      <c r="K222" s="571">
        <f>E222*J222</f>
        <v>0</v>
      </c>
      <c r="L222" s="436"/>
      <c r="O222" s="444">
        <v>2</v>
      </c>
      <c r="AA222" s="434">
        <v>3</v>
      </c>
      <c r="AB222" s="434">
        <v>7</v>
      </c>
      <c r="AC222" s="434">
        <v>28375422</v>
      </c>
      <c r="AZ222" s="434">
        <v>2</v>
      </c>
      <c r="BA222" s="434">
        <f>IF(AZ222=1,G222,0)</f>
        <v>0</v>
      </c>
      <c r="BB222" s="434">
        <f>IF(AZ222=2,G222,0)</f>
        <v>0</v>
      </c>
      <c r="BC222" s="434">
        <f>IF(AZ222=3,G222,0)</f>
        <v>0</v>
      </c>
      <c r="BD222" s="434">
        <f>IF(AZ222=4,G222,0)</f>
        <v>0</v>
      </c>
      <c r="BE222" s="434">
        <f>IF(AZ222=5,G222,0)</f>
        <v>0</v>
      </c>
      <c r="CA222" s="444">
        <v>3</v>
      </c>
      <c r="CB222" s="444">
        <v>7</v>
      </c>
    </row>
    <row r="223" spans="1:15" ht="12.75">
      <c r="A223" s="478"/>
      <c r="B223" s="477"/>
      <c r="C223" s="1628" t="s">
        <v>197</v>
      </c>
      <c r="D223" s="1589"/>
      <c r="E223" s="577">
        <v>0</v>
      </c>
      <c r="F223" s="475"/>
      <c r="G223" s="230"/>
      <c r="H223" s="474"/>
      <c r="I223" s="473"/>
      <c r="J223" s="569"/>
      <c r="K223" s="572"/>
      <c r="L223" s="436"/>
      <c r="M223" s="472" t="s">
        <v>197</v>
      </c>
      <c r="O223" s="444"/>
    </row>
    <row r="224" spans="1:15" ht="12.75">
      <c r="A224" s="478"/>
      <c r="B224" s="477"/>
      <c r="C224" s="1628" t="s">
        <v>709</v>
      </c>
      <c r="D224" s="1589"/>
      <c r="E224" s="577">
        <v>3.4496</v>
      </c>
      <c r="F224" s="475"/>
      <c r="G224" s="230"/>
      <c r="H224" s="474"/>
      <c r="I224" s="473"/>
      <c r="J224" s="569"/>
      <c r="K224" s="572"/>
      <c r="L224" s="436"/>
      <c r="M224" s="472" t="s">
        <v>709</v>
      </c>
      <c r="O224" s="444"/>
    </row>
    <row r="225" spans="1:15" ht="12.75">
      <c r="A225" s="478"/>
      <c r="B225" s="477"/>
      <c r="C225" s="1628" t="s">
        <v>710</v>
      </c>
      <c r="D225" s="1589"/>
      <c r="E225" s="577">
        <v>2.5872</v>
      </c>
      <c r="F225" s="475"/>
      <c r="G225" s="230"/>
      <c r="H225" s="474"/>
      <c r="I225" s="473"/>
      <c r="J225" s="569"/>
      <c r="K225" s="572"/>
      <c r="L225" s="436"/>
      <c r="M225" s="472" t="s">
        <v>710</v>
      </c>
      <c r="O225" s="444"/>
    </row>
    <row r="226" spans="1:15" ht="12.75">
      <c r="A226" s="478"/>
      <c r="B226" s="477"/>
      <c r="C226" s="1628" t="s">
        <v>199</v>
      </c>
      <c r="D226" s="1589"/>
      <c r="E226" s="577">
        <v>6.0368</v>
      </c>
      <c r="F226" s="475"/>
      <c r="G226" s="230"/>
      <c r="H226" s="474"/>
      <c r="I226" s="473"/>
      <c r="J226" s="569"/>
      <c r="K226" s="572"/>
      <c r="L226" s="436"/>
      <c r="M226" s="472" t="s">
        <v>199</v>
      </c>
      <c r="O226" s="444"/>
    </row>
    <row r="227" spans="1:15" ht="12.75">
      <c r="A227" s="478"/>
      <c r="B227" s="477"/>
      <c r="C227" s="1621" t="s">
        <v>711</v>
      </c>
      <c r="D227" s="1589"/>
      <c r="E227" s="476">
        <v>6.6405</v>
      </c>
      <c r="F227" s="475"/>
      <c r="G227" s="230"/>
      <c r="H227" s="474"/>
      <c r="I227" s="473"/>
      <c r="J227" s="569"/>
      <c r="K227" s="572"/>
      <c r="L227" s="436"/>
      <c r="M227" s="472" t="s">
        <v>711</v>
      </c>
      <c r="O227" s="444"/>
    </row>
    <row r="228" spans="1:80" ht="12.75">
      <c r="A228" s="461">
        <v>69</v>
      </c>
      <c r="B228" s="460" t="s">
        <v>712</v>
      </c>
      <c r="C228" s="459" t="s">
        <v>713</v>
      </c>
      <c r="D228" s="458" t="s">
        <v>145</v>
      </c>
      <c r="E228" s="457">
        <v>50.232</v>
      </c>
      <c r="F228" s="457"/>
      <c r="G228" s="456">
        <f>E228*F228</f>
        <v>0</v>
      </c>
      <c r="H228" s="455">
        <v>0.0024</v>
      </c>
      <c r="I228" s="454">
        <f>E228*H228</f>
        <v>0.12055679999999999</v>
      </c>
      <c r="J228" s="570"/>
      <c r="K228" s="571">
        <f>E228*J228</f>
        <v>0</v>
      </c>
      <c r="L228" s="436"/>
      <c r="O228" s="444">
        <v>2</v>
      </c>
      <c r="AA228" s="434">
        <v>3</v>
      </c>
      <c r="AB228" s="434">
        <v>7</v>
      </c>
      <c r="AC228" s="434">
        <v>63140103</v>
      </c>
      <c r="AZ228" s="434">
        <v>2</v>
      </c>
      <c r="BA228" s="434">
        <f>IF(AZ228=1,G228,0)</f>
        <v>0</v>
      </c>
      <c r="BB228" s="434">
        <f>IF(AZ228=2,G228,0)</f>
        <v>0</v>
      </c>
      <c r="BC228" s="434">
        <f>IF(AZ228=3,G228,0)</f>
        <v>0</v>
      </c>
      <c r="BD228" s="434">
        <f>IF(AZ228=4,G228,0)</f>
        <v>0</v>
      </c>
      <c r="BE228" s="434">
        <f>IF(AZ228=5,G228,0)</f>
        <v>0</v>
      </c>
      <c r="CA228" s="444">
        <v>3</v>
      </c>
      <c r="CB228" s="444">
        <v>7</v>
      </c>
    </row>
    <row r="229" spans="1:15" ht="12.75">
      <c r="A229" s="478"/>
      <c r="B229" s="477"/>
      <c r="C229" s="1621" t="s">
        <v>714</v>
      </c>
      <c r="D229" s="1589"/>
      <c r="E229" s="476">
        <v>50.232</v>
      </c>
      <c r="F229" s="475"/>
      <c r="G229" s="230"/>
      <c r="H229" s="474"/>
      <c r="I229" s="473"/>
      <c r="J229" s="569"/>
      <c r="K229" s="572"/>
      <c r="L229" s="436"/>
      <c r="M229" s="472" t="s">
        <v>714</v>
      </c>
      <c r="O229" s="444"/>
    </row>
    <row r="230" spans="1:80" ht="12.75">
      <c r="A230" s="461">
        <v>70</v>
      </c>
      <c r="B230" s="460" t="s">
        <v>715</v>
      </c>
      <c r="C230" s="459" t="s">
        <v>716</v>
      </c>
      <c r="D230" s="458" t="s">
        <v>145</v>
      </c>
      <c r="E230" s="457">
        <v>50.232</v>
      </c>
      <c r="F230" s="457"/>
      <c r="G230" s="456">
        <f>E230*F230</f>
        <v>0</v>
      </c>
      <c r="H230" s="455">
        <v>0.006</v>
      </c>
      <c r="I230" s="454">
        <f>E230*H230</f>
        <v>0.301392</v>
      </c>
      <c r="J230" s="570"/>
      <c r="K230" s="571">
        <f>E230*J230</f>
        <v>0</v>
      </c>
      <c r="L230" s="436"/>
      <c r="O230" s="444">
        <v>2</v>
      </c>
      <c r="AA230" s="434">
        <v>3</v>
      </c>
      <c r="AB230" s="434">
        <v>7</v>
      </c>
      <c r="AC230" s="434">
        <v>63140109</v>
      </c>
      <c r="AZ230" s="434">
        <v>2</v>
      </c>
      <c r="BA230" s="434">
        <f>IF(AZ230=1,G230,0)</f>
        <v>0</v>
      </c>
      <c r="BB230" s="434">
        <f>IF(AZ230=2,G230,0)</f>
        <v>0</v>
      </c>
      <c r="BC230" s="434">
        <f>IF(AZ230=3,G230,0)</f>
        <v>0</v>
      </c>
      <c r="BD230" s="434">
        <f>IF(AZ230=4,G230,0)</f>
        <v>0</v>
      </c>
      <c r="BE230" s="434">
        <f>IF(AZ230=5,G230,0)</f>
        <v>0</v>
      </c>
      <c r="CA230" s="444">
        <v>3</v>
      </c>
      <c r="CB230" s="444">
        <v>7</v>
      </c>
    </row>
    <row r="231" spans="1:15" ht="12.75">
      <c r="A231" s="478"/>
      <c r="B231" s="477"/>
      <c r="C231" s="1621" t="s">
        <v>714</v>
      </c>
      <c r="D231" s="1589"/>
      <c r="E231" s="476">
        <v>50.232</v>
      </c>
      <c r="F231" s="475"/>
      <c r="G231" s="230"/>
      <c r="H231" s="474"/>
      <c r="I231" s="473"/>
      <c r="J231" s="569"/>
      <c r="K231" s="572"/>
      <c r="L231" s="436"/>
      <c r="M231" s="472" t="s">
        <v>714</v>
      </c>
      <c r="O231" s="444"/>
    </row>
    <row r="232" spans="1:80" ht="12.75">
      <c r="A232" s="461">
        <v>71</v>
      </c>
      <c r="B232" s="460" t="s">
        <v>717</v>
      </c>
      <c r="C232" s="459" t="s">
        <v>718</v>
      </c>
      <c r="D232" s="458" t="s">
        <v>9</v>
      </c>
      <c r="E232" s="457">
        <v>671.82601065</v>
      </c>
      <c r="F232" s="457"/>
      <c r="G232" s="456">
        <f>E232*F232</f>
        <v>0</v>
      </c>
      <c r="H232" s="455">
        <v>0</v>
      </c>
      <c r="I232" s="454">
        <f>E232*H232</f>
        <v>0</v>
      </c>
      <c r="J232" s="570"/>
      <c r="K232" s="571">
        <f>E232*J232</f>
        <v>0</v>
      </c>
      <c r="L232" s="436"/>
      <c r="O232" s="444">
        <v>2</v>
      </c>
      <c r="AA232" s="434">
        <v>7</v>
      </c>
      <c r="AB232" s="434">
        <v>1002</v>
      </c>
      <c r="AC232" s="434">
        <v>5</v>
      </c>
      <c r="AZ232" s="434">
        <v>2</v>
      </c>
      <c r="BA232" s="434">
        <f>IF(AZ232=1,G232,0)</f>
        <v>0</v>
      </c>
      <c r="BB232" s="434">
        <f>IF(AZ232=2,G232,0)</f>
        <v>0</v>
      </c>
      <c r="BC232" s="434">
        <f>IF(AZ232=3,G232,0)</f>
        <v>0</v>
      </c>
      <c r="BD232" s="434">
        <f>IF(AZ232=4,G232,0)</f>
        <v>0</v>
      </c>
      <c r="BE232" s="434">
        <f>IF(AZ232=5,G232,0)</f>
        <v>0</v>
      </c>
      <c r="CA232" s="444">
        <v>7</v>
      </c>
      <c r="CB232" s="444">
        <v>1002</v>
      </c>
    </row>
    <row r="233" spans="1:57" ht="12.75">
      <c r="A233" s="453"/>
      <c r="B233" s="452" t="s">
        <v>175</v>
      </c>
      <c r="C233" s="451" t="s">
        <v>719</v>
      </c>
      <c r="D233" s="450"/>
      <c r="E233" s="449"/>
      <c r="F233" s="448"/>
      <c r="G233" s="447">
        <f>SUM(G215:G232)</f>
        <v>0</v>
      </c>
      <c r="H233" s="446"/>
      <c r="I233" s="445">
        <f>SUM(I215:I232)</f>
        <v>0.7272392999999999</v>
      </c>
      <c r="J233" s="568"/>
      <c r="K233" s="576">
        <f>SUM(K215:K232)</f>
        <v>0</v>
      </c>
      <c r="L233" s="436"/>
      <c r="O233" s="444">
        <v>4</v>
      </c>
      <c r="BA233" s="443">
        <f>SUM(BA215:BA232)</f>
        <v>0</v>
      </c>
      <c r="BB233" s="443">
        <f>SUM(BB215:BB232)</f>
        <v>0</v>
      </c>
      <c r="BC233" s="443">
        <f>SUM(BC215:BC232)</f>
        <v>0</v>
      </c>
      <c r="BD233" s="443">
        <f>SUM(BD215:BD232)</f>
        <v>0</v>
      </c>
      <c r="BE233" s="443">
        <f>SUM(BE215:BE232)</f>
        <v>0</v>
      </c>
    </row>
    <row r="234" spans="1:15" ht="12.75">
      <c r="A234" s="471" t="s">
        <v>140</v>
      </c>
      <c r="B234" s="470" t="s">
        <v>720</v>
      </c>
      <c r="C234" s="469" t="s">
        <v>721</v>
      </c>
      <c r="D234" s="468"/>
      <c r="E234" s="467"/>
      <c r="F234" s="467"/>
      <c r="G234" s="466"/>
      <c r="H234" s="465"/>
      <c r="I234" s="464"/>
      <c r="J234" s="568"/>
      <c r="K234" s="569"/>
      <c r="L234" s="436"/>
      <c r="O234" s="444">
        <v>1</v>
      </c>
    </row>
    <row r="235" spans="1:80" ht="12.75">
      <c r="A235" s="461">
        <v>72</v>
      </c>
      <c r="B235" s="1730" t="s">
        <v>722</v>
      </c>
      <c r="C235" s="1731" t="s">
        <v>723</v>
      </c>
      <c r="D235" s="1732" t="s">
        <v>181</v>
      </c>
      <c r="E235" s="1733">
        <v>1</v>
      </c>
      <c r="F235" s="457"/>
      <c r="G235" s="456"/>
      <c r="H235" s="455">
        <v>0</v>
      </c>
      <c r="I235" s="454">
        <f>E235*H235</f>
        <v>0</v>
      </c>
      <c r="J235" s="570">
        <v>0</v>
      </c>
      <c r="K235" s="571">
        <f>E235*J235</f>
        <v>0</v>
      </c>
      <c r="L235" s="436"/>
      <c r="O235" s="444">
        <v>2</v>
      </c>
      <c r="AA235" s="434">
        <v>1</v>
      </c>
      <c r="AB235" s="434">
        <v>7</v>
      </c>
      <c r="AC235" s="434">
        <v>7</v>
      </c>
      <c r="AZ235" s="434">
        <v>2</v>
      </c>
      <c r="BA235" s="434">
        <f>IF(AZ235=1,G235,0)</f>
        <v>0</v>
      </c>
      <c r="BB235" s="434">
        <f>IF(AZ235=2,G235,0)</f>
        <v>0</v>
      </c>
      <c r="BC235" s="434">
        <f>IF(AZ235=3,G235,0)</f>
        <v>0</v>
      </c>
      <c r="BD235" s="434">
        <f>IF(AZ235=4,G235,0)</f>
        <v>0</v>
      </c>
      <c r="BE235" s="434">
        <f>IF(AZ235=5,G235,0)</f>
        <v>0</v>
      </c>
      <c r="CA235" s="444">
        <v>1</v>
      </c>
      <c r="CB235" s="444">
        <v>7</v>
      </c>
    </row>
    <row r="236" spans="1:80" ht="12.75">
      <c r="A236" s="461">
        <v>73</v>
      </c>
      <c r="B236" s="1730" t="s">
        <v>724</v>
      </c>
      <c r="C236" s="1731" t="s">
        <v>725</v>
      </c>
      <c r="D236" s="1732" t="s">
        <v>9</v>
      </c>
      <c r="E236" s="1733"/>
      <c r="F236" s="457"/>
      <c r="G236" s="456"/>
      <c r="H236" s="455">
        <v>0</v>
      </c>
      <c r="I236" s="454">
        <f>E236*H236</f>
        <v>0</v>
      </c>
      <c r="J236" s="570"/>
      <c r="K236" s="571">
        <f>E236*J236</f>
        <v>0</v>
      </c>
      <c r="L236" s="436"/>
      <c r="O236" s="444">
        <v>2</v>
      </c>
      <c r="AA236" s="434">
        <v>7</v>
      </c>
      <c r="AB236" s="434">
        <v>1002</v>
      </c>
      <c r="AC236" s="434">
        <v>5</v>
      </c>
      <c r="AZ236" s="434">
        <v>2</v>
      </c>
      <c r="BA236" s="434">
        <f>IF(AZ236=1,G236,0)</f>
        <v>0</v>
      </c>
      <c r="BB236" s="434">
        <f>IF(AZ236=2,G236,0)</f>
        <v>0</v>
      </c>
      <c r="BC236" s="434">
        <f>IF(AZ236=3,G236,0)</f>
        <v>0</v>
      </c>
      <c r="BD236" s="434">
        <f>IF(AZ236=4,G236,0)</f>
        <v>0</v>
      </c>
      <c r="BE236" s="434">
        <f>IF(AZ236=5,G236,0)</f>
        <v>0</v>
      </c>
      <c r="CA236" s="444">
        <v>7</v>
      </c>
      <c r="CB236" s="444">
        <v>1002</v>
      </c>
    </row>
    <row r="237" spans="1:57" ht="12.75">
      <c r="A237" s="453"/>
      <c r="B237" s="452" t="s">
        <v>175</v>
      </c>
      <c r="C237" s="451" t="s">
        <v>726</v>
      </c>
      <c r="D237" s="450"/>
      <c r="E237" s="449"/>
      <c r="F237" s="448"/>
      <c r="G237" s="447">
        <f>SUM(G234:G236)</f>
        <v>0</v>
      </c>
      <c r="H237" s="446"/>
      <c r="I237" s="445">
        <f>SUM(I234:I236)</f>
        <v>0</v>
      </c>
      <c r="J237" s="569"/>
      <c r="K237" s="576">
        <f>SUM(K234:K236)</f>
        <v>0</v>
      </c>
      <c r="L237" s="436"/>
      <c r="O237" s="444">
        <v>4</v>
      </c>
      <c r="BA237" s="443">
        <f>SUM(BA234:BA236)</f>
        <v>0</v>
      </c>
      <c r="BB237" s="443">
        <f>SUM(BB234:BB236)</f>
        <v>0</v>
      </c>
      <c r="BC237" s="443">
        <f>SUM(BC234:BC236)</f>
        <v>0</v>
      </c>
      <c r="BD237" s="443">
        <f>SUM(BD234:BD236)</f>
        <v>0</v>
      </c>
      <c r="BE237" s="443">
        <f>SUM(BE234:BE236)</f>
        <v>0</v>
      </c>
    </row>
    <row r="238" spans="1:15" ht="12.75">
      <c r="A238" s="471" t="s">
        <v>140</v>
      </c>
      <c r="B238" s="470" t="s">
        <v>727</v>
      </c>
      <c r="C238" s="469" t="s">
        <v>728</v>
      </c>
      <c r="D238" s="468"/>
      <c r="E238" s="467"/>
      <c r="F238" s="467"/>
      <c r="G238" s="466"/>
      <c r="H238" s="465"/>
      <c r="I238" s="464"/>
      <c r="J238" s="568"/>
      <c r="K238" s="569"/>
      <c r="L238" s="436"/>
      <c r="O238" s="444">
        <v>1</v>
      </c>
    </row>
    <row r="239" spans="1:80" ht="12.75">
      <c r="A239" s="461">
        <v>74</v>
      </c>
      <c r="B239" s="460" t="s">
        <v>729</v>
      </c>
      <c r="C239" s="459" t="s">
        <v>730</v>
      </c>
      <c r="D239" s="458" t="s">
        <v>181</v>
      </c>
      <c r="E239" s="457">
        <v>1</v>
      </c>
      <c r="F239" s="457"/>
      <c r="G239" s="456">
        <f>E239*F239</f>
        <v>0</v>
      </c>
      <c r="H239" s="455">
        <v>0.00012</v>
      </c>
      <c r="I239" s="454">
        <f>E239*H239</f>
        <v>0.00012</v>
      </c>
      <c r="J239" s="570">
        <v>0</v>
      </c>
      <c r="K239" s="571">
        <f>E239*J239</f>
        <v>0</v>
      </c>
      <c r="L239" s="436"/>
      <c r="O239" s="444">
        <v>2</v>
      </c>
      <c r="AA239" s="434">
        <v>1</v>
      </c>
      <c r="AB239" s="434">
        <v>7</v>
      </c>
      <c r="AC239" s="434">
        <v>7</v>
      </c>
      <c r="AZ239" s="434">
        <v>2</v>
      </c>
      <c r="BA239" s="434">
        <f>IF(AZ239=1,G239,0)</f>
        <v>0</v>
      </c>
      <c r="BB239" s="434">
        <f>IF(AZ239=2,G239,0)</f>
        <v>0</v>
      </c>
      <c r="BC239" s="434">
        <f>IF(AZ239=3,G239,0)</f>
        <v>0</v>
      </c>
      <c r="BD239" s="434">
        <f>IF(AZ239=4,G239,0)</f>
        <v>0</v>
      </c>
      <c r="BE239" s="434">
        <f>IF(AZ239=5,G239,0)</f>
        <v>0</v>
      </c>
      <c r="CA239" s="444">
        <v>1</v>
      </c>
      <c r="CB239" s="444">
        <v>7</v>
      </c>
    </row>
    <row r="240" spans="1:80" ht="12.75">
      <c r="A240" s="461">
        <v>75</v>
      </c>
      <c r="B240" s="460" t="s">
        <v>731</v>
      </c>
      <c r="C240" s="459" t="s">
        <v>732</v>
      </c>
      <c r="D240" s="458" t="s">
        <v>196</v>
      </c>
      <c r="E240" s="457">
        <v>3</v>
      </c>
      <c r="F240" s="457"/>
      <c r="G240" s="456">
        <f>E240*F240</f>
        <v>0</v>
      </c>
      <c r="H240" s="455">
        <v>0.024</v>
      </c>
      <c r="I240" s="454">
        <f>E240*H240</f>
        <v>0.07200000000000001</v>
      </c>
      <c r="J240" s="570"/>
      <c r="K240" s="571">
        <f>E240*J240</f>
        <v>0</v>
      </c>
      <c r="L240" s="436"/>
      <c r="O240" s="444">
        <v>2</v>
      </c>
      <c r="AA240" s="434">
        <v>3</v>
      </c>
      <c r="AB240" s="434">
        <v>1</v>
      </c>
      <c r="AC240" s="434">
        <v>44984142</v>
      </c>
      <c r="AZ240" s="434">
        <v>2</v>
      </c>
      <c r="BA240" s="434">
        <f>IF(AZ240=1,G240,0)</f>
        <v>0</v>
      </c>
      <c r="BB240" s="434">
        <f>IF(AZ240=2,G240,0)</f>
        <v>0</v>
      </c>
      <c r="BC240" s="434">
        <f>IF(AZ240=3,G240,0)</f>
        <v>0</v>
      </c>
      <c r="BD240" s="434">
        <f>IF(AZ240=4,G240,0)</f>
        <v>0</v>
      </c>
      <c r="BE240" s="434">
        <f>IF(AZ240=5,G240,0)</f>
        <v>0</v>
      </c>
      <c r="CA240" s="444">
        <v>3</v>
      </c>
      <c r="CB240" s="444">
        <v>1</v>
      </c>
    </row>
    <row r="241" spans="1:15" ht="12.75">
      <c r="A241" s="478"/>
      <c r="B241" s="477"/>
      <c r="C241" s="1621" t="s">
        <v>733</v>
      </c>
      <c r="D241" s="1589"/>
      <c r="E241" s="476">
        <v>1</v>
      </c>
      <c r="F241" s="475"/>
      <c r="G241" s="230"/>
      <c r="H241" s="474"/>
      <c r="I241" s="473"/>
      <c r="J241" s="569"/>
      <c r="K241" s="572"/>
      <c r="L241" s="436"/>
      <c r="M241" s="472" t="s">
        <v>733</v>
      </c>
      <c r="O241" s="444"/>
    </row>
    <row r="242" spans="1:15" ht="12.75">
      <c r="A242" s="478"/>
      <c r="B242" s="477"/>
      <c r="C242" s="1621" t="s">
        <v>734</v>
      </c>
      <c r="D242" s="1589"/>
      <c r="E242" s="476">
        <v>1</v>
      </c>
      <c r="F242" s="475"/>
      <c r="G242" s="230"/>
      <c r="H242" s="474"/>
      <c r="I242" s="473"/>
      <c r="J242" s="569"/>
      <c r="K242" s="572"/>
      <c r="L242" s="436"/>
      <c r="M242" s="472" t="s">
        <v>734</v>
      </c>
      <c r="O242" s="444"/>
    </row>
    <row r="243" spans="1:15" ht="12.75">
      <c r="A243" s="478"/>
      <c r="B243" s="477"/>
      <c r="C243" s="1621" t="s">
        <v>735</v>
      </c>
      <c r="D243" s="1589"/>
      <c r="E243" s="476">
        <v>1</v>
      </c>
      <c r="F243" s="475"/>
      <c r="G243" s="230"/>
      <c r="H243" s="474"/>
      <c r="I243" s="473"/>
      <c r="J243" s="569"/>
      <c r="K243" s="572"/>
      <c r="L243" s="436"/>
      <c r="M243" s="472" t="s">
        <v>735</v>
      </c>
      <c r="O243" s="444"/>
    </row>
    <row r="244" spans="1:80" ht="12.75">
      <c r="A244" s="461">
        <v>76</v>
      </c>
      <c r="B244" s="460" t="s">
        <v>736</v>
      </c>
      <c r="C244" s="459" t="s">
        <v>737</v>
      </c>
      <c r="D244" s="458" t="s">
        <v>196</v>
      </c>
      <c r="E244" s="457">
        <v>1</v>
      </c>
      <c r="F244" s="457"/>
      <c r="G244" s="456">
        <f>E244*F244</f>
        <v>0</v>
      </c>
      <c r="H244" s="455">
        <v>0.022</v>
      </c>
      <c r="I244" s="454">
        <f>E244*H244</f>
        <v>0.022</v>
      </c>
      <c r="J244" s="570"/>
      <c r="K244" s="571">
        <f>E244*J244</f>
        <v>0</v>
      </c>
      <c r="L244" s="436"/>
      <c r="O244" s="444">
        <v>2</v>
      </c>
      <c r="AA244" s="434">
        <v>3</v>
      </c>
      <c r="AB244" s="434">
        <v>1</v>
      </c>
      <c r="AC244" s="434">
        <v>53877554</v>
      </c>
      <c r="AZ244" s="434">
        <v>2</v>
      </c>
      <c r="BA244" s="434">
        <f>IF(AZ244=1,G244,0)</f>
        <v>0</v>
      </c>
      <c r="BB244" s="434">
        <f>IF(AZ244=2,G244,0)</f>
        <v>0</v>
      </c>
      <c r="BC244" s="434">
        <f>IF(AZ244=3,G244,0)</f>
        <v>0</v>
      </c>
      <c r="BD244" s="434">
        <f>IF(AZ244=4,G244,0)</f>
        <v>0</v>
      </c>
      <c r="BE244" s="434">
        <f>IF(AZ244=5,G244,0)</f>
        <v>0</v>
      </c>
      <c r="CA244" s="444">
        <v>3</v>
      </c>
      <c r="CB244" s="444">
        <v>1</v>
      </c>
    </row>
    <row r="245" spans="1:80" ht="12.75">
      <c r="A245" s="461">
        <v>77</v>
      </c>
      <c r="B245" s="460" t="s">
        <v>738</v>
      </c>
      <c r="C245" s="459" t="s">
        <v>739</v>
      </c>
      <c r="D245" s="458" t="s">
        <v>196</v>
      </c>
      <c r="E245" s="457">
        <v>3</v>
      </c>
      <c r="F245" s="457"/>
      <c r="G245" s="456">
        <f>E245*F245</f>
        <v>0</v>
      </c>
      <c r="H245" s="455">
        <v>0.002</v>
      </c>
      <c r="I245" s="454">
        <f>E245*H245</f>
        <v>0.006</v>
      </c>
      <c r="J245" s="570"/>
      <c r="K245" s="571">
        <f>E245*J245</f>
        <v>0</v>
      </c>
      <c r="L245" s="436"/>
      <c r="O245" s="444">
        <v>2</v>
      </c>
      <c r="AA245" s="434">
        <v>3</v>
      </c>
      <c r="AB245" s="434">
        <v>1</v>
      </c>
      <c r="AC245" s="434">
        <v>55149001</v>
      </c>
      <c r="AZ245" s="434">
        <v>2</v>
      </c>
      <c r="BA245" s="434">
        <f>IF(AZ245=1,G245,0)</f>
        <v>0</v>
      </c>
      <c r="BB245" s="434">
        <f>IF(AZ245=2,G245,0)</f>
        <v>0</v>
      </c>
      <c r="BC245" s="434">
        <f>IF(AZ245=3,G245,0)</f>
        <v>0</v>
      </c>
      <c r="BD245" s="434">
        <f>IF(AZ245=4,G245,0)</f>
        <v>0</v>
      </c>
      <c r="BE245" s="434">
        <f>IF(AZ245=5,G245,0)</f>
        <v>0</v>
      </c>
      <c r="CA245" s="444">
        <v>3</v>
      </c>
      <c r="CB245" s="444">
        <v>1</v>
      </c>
    </row>
    <row r="246" spans="1:15" ht="12.75">
      <c r="A246" s="478"/>
      <c r="B246" s="477"/>
      <c r="C246" s="1621" t="s">
        <v>740</v>
      </c>
      <c r="D246" s="1589"/>
      <c r="E246" s="476">
        <v>1</v>
      </c>
      <c r="F246" s="475"/>
      <c r="G246" s="230"/>
      <c r="H246" s="474"/>
      <c r="I246" s="473"/>
      <c r="J246" s="569"/>
      <c r="K246" s="572"/>
      <c r="L246" s="436"/>
      <c r="M246" s="472" t="s">
        <v>740</v>
      </c>
      <c r="O246" s="444"/>
    </row>
    <row r="247" spans="1:15" ht="12.75">
      <c r="A247" s="478"/>
      <c r="B247" s="477"/>
      <c r="C247" s="1621" t="s">
        <v>741</v>
      </c>
      <c r="D247" s="1589"/>
      <c r="E247" s="476">
        <v>1</v>
      </c>
      <c r="F247" s="475"/>
      <c r="G247" s="230"/>
      <c r="H247" s="474"/>
      <c r="I247" s="473"/>
      <c r="J247" s="569"/>
      <c r="K247" s="572"/>
      <c r="L247" s="436"/>
      <c r="M247" s="472" t="s">
        <v>741</v>
      </c>
      <c r="O247" s="444"/>
    </row>
    <row r="248" spans="1:15" ht="12.75">
      <c r="A248" s="478"/>
      <c r="B248" s="477"/>
      <c r="C248" s="1621" t="s">
        <v>735</v>
      </c>
      <c r="D248" s="1589"/>
      <c r="E248" s="476">
        <v>1</v>
      </c>
      <c r="F248" s="475"/>
      <c r="G248" s="230"/>
      <c r="H248" s="474"/>
      <c r="I248" s="473"/>
      <c r="J248" s="569"/>
      <c r="K248" s="572"/>
      <c r="L248" s="436"/>
      <c r="M248" s="472" t="s">
        <v>735</v>
      </c>
      <c r="O248" s="444"/>
    </row>
    <row r="249" spans="1:80" ht="12.75">
      <c r="A249" s="461">
        <v>78</v>
      </c>
      <c r="B249" s="460" t="s">
        <v>742</v>
      </c>
      <c r="C249" s="459" t="s">
        <v>743</v>
      </c>
      <c r="D249" s="458" t="s">
        <v>196</v>
      </c>
      <c r="E249" s="457">
        <v>3</v>
      </c>
      <c r="F249" s="457"/>
      <c r="G249" s="456">
        <f>E249*F249</f>
        <v>0</v>
      </c>
      <c r="H249" s="455">
        <v>0.0008</v>
      </c>
      <c r="I249" s="454">
        <f>E249*H249</f>
        <v>0.0024000000000000002</v>
      </c>
      <c r="J249" s="570"/>
      <c r="K249" s="571">
        <f>E249*J249</f>
        <v>0</v>
      </c>
      <c r="L249" s="436"/>
      <c r="O249" s="444">
        <v>2</v>
      </c>
      <c r="AA249" s="434">
        <v>3</v>
      </c>
      <c r="AB249" s="434">
        <v>1</v>
      </c>
      <c r="AC249" s="434">
        <v>55149015</v>
      </c>
      <c r="AZ249" s="434">
        <v>2</v>
      </c>
      <c r="BA249" s="434">
        <f>IF(AZ249=1,G249,0)</f>
        <v>0</v>
      </c>
      <c r="BB249" s="434">
        <f>IF(AZ249=2,G249,0)</f>
        <v>0</v>
      </c>
      <c r="BC249" s="434">
        <f>IF(AZ249=3,G249,0)</f>
        <v>0</v>
      </c>
      <c r="BD249" s="434">
        <f>IF(AZ249=4,G249,0)</f>
        <v>0</v>
      </c>
      <c r="BE249" s="434">
        <f>IF(AZ249=5,G249,0)</f>
        <v>0</v>
      </c>
      <c r="CA249" s="444">
        <v>3</v>
      </c>
      <c r="CB249" s="444">
        <v>1</v>
      </c>
    </row>
    <row r="250" spans="1:15" ht="12.75">
      <c r="A250" s="478"/>
      <c r="B250" s="477"/>
      <c r="C250" s="1621" t="s">
        <v>733</v>
      </c>
      <c r="D250" s="1589"/>
      <c r="E250" s="476">
        <v>1</v>
      </c>
      <c r="F250" s="475"/>
      <c r="G250" s="230"/>
      <c r="H250" s="474"/>
      <c r="I250" s="473"/>
      <c r="J250" s="569"/>
      <c r="K250" s="572"/>
      <c r="L250" s="436"/>
      <c r="M250" s="472" t="s">
        <v>733</v>
      </c>
      <c r="O250" s="444"/>
    </row>
    <row r="251" spans="1:15" ht="12.75">
      <c r="A251" s="478"/>
      <c r="B251" s="477"/>
      <c r="C251" s="1621" t="s">
        <v>734</v>
      </c>
      <c r="D251" s="1589"/>
      <c r="E251" s="476">
        <v>1</v>
      </c>
      <c r="F251" s="475"/>
      <c r="G251" s="230"/>
      <c r="H251" s="474"/>
      <c r="I251" s="473"/>
      <c r="J251" s="569"/>
      <c r="K251" s="572"/>
      <c r="L251" s="436"/>
      <c r="M251" s="472" t="s">
        <v>734</v>
      </c>
      <c r="O251" s="444"/>
    </row>
    <row r="252" spans="1:15" ht="12.75">
      <c r="A252" s="478"/>
      <c r="B252" s="477"/>
      <c r="C252" s="1621" t="s">
        <v>735</v>
      </c>
      <c r="D252" s="1589"/>
      <c r="E252" s="476">
        <v>1</v>
      </c>
      <c r="F252" s="475"/>
      <c r="G252" s="230"/>
      <c r="H252" s="474"/>
      <c r="I252" s="473"/>
      <c r="J252" s="569"/>
      <c r="K252" s="572"/>
      <c r="L252" s="436"/>
      <c r="M252" s="472" t="s">
        <v>735</v>
      </c>
      <c r="O252" s="444"/>
    </row>
    <row r="253" spans="1:80" ht="12.75">
      <c r="A253" s="461">
        <v>79</v>
      </c>
      <c r="B253" s="460" t="s">
        <v>744</v>
      </c>
      <c r="C253" s="459" t="s">
        <v>745</v>
      </c>
      <c r="D253" s="458" t="s">
        <v>196</v>
      </c>
      <c r="E253" s="457">
        <v>5</v>
      </c>
      <c r="F253" s="457"/>
      <c r="G253" s="456">
        <f>E253*F253</f>
        <v>0</v>
      </c>
      <c r="H253" s="455">
        <v>0.0007</v>
      </c>
      <c r="I253" s="454">
        <f>E253*H253</f>
        <v>0.0035</v>
      </c>
      <c r="J253" s="570"/>
      <c r="K253" s="571">
        <f>E253*J253</f>
        <v>0</v>
      </c>
      <c r="L253" s="436"/>
      <c r="O253" s="444">
        <v>2</v>
      </c>
      <c r="AA253" s="434">
        <v>3</v>
      </c>
      <c r="AB253" s="434">
        <v>1</v>
      </c>
      <c r="AC253" s="434">
        <v>55149021</v>
      </c>
      <c r="AZ253" s="434">
        <v>2</v>
      </c>
      <c r="BA253" s="434">
        <f>IF(AZ253=1,G253,0)</f>
        <v>0</v>
      </c>
      <c r="BB253" s="434">
        <f>IF(AZ253=2,G253,0)</f>
        <v>0</v>
      </c>
      <c r="BC253" s="434">
        <f>IF(AZ253=3,G253,0)</f>
        <v>0</v>
      </c>
      <c r="BD253" s="434">
        <f>IF(AZ253=4,G253,0)</f>
        <v>0</v>
      </c>
      <c r="BE253" s="434">
        <f>IF(AZ253=5,G253,0)</f>
        <v>0</v>
      </c>
      <c r="CA253" s="444">
        <v>3</v>
      </c>
      <c r="CB253" s="444">
        <v>1</v>
      </c>
    </row>
    <row r="254" spans="1:15" ht="12.75">
      <c r="A254" s="478"/>
      <c r="B254" s="477"/>
      <c r="C254" s="1621" t="s">
        <v>735</v>
      </c>
      <c r="D254" s="1589"/>
      <c r="E254" s="476">
        <v>1</v>
      </c>
      <c r="F254" s="475"/>
      <c r="G254" s="230"/>
      <c r="H254" s="474"/>
      <c r="I254" s="473"/>
      <c r="J254" s="569"/>
      <c r="K254" s="572"/>
      <c r="L254" s="436"/>
      <c r="M254" s="472" t="s">
        <v>735</v>
      </c>
      <c r="O254" s="444"/>
    </row>
    <row r="255" spans="1:15" ht="12.75">
      <c r="A255" s="478"/>
      <c r="B255" s="477"/>
      <c r="C255" s="1621" t="s">
        <v>746</v>
      </c>
      <c r="D255" s="1589"/>
      <c r="E255" s="476">
        <v>2</v>
      </c>
      <c r="F255" s="475"/>
      <c r="G255" s="230"/>
      <c r="H255" s="474"/>
      <c r="I255" s="473"/>
      <c r="J255" s="569"/>
      <c r="K255" s="572"/>
      <c r="L255" s="436"/>
      <c r="M255" s="472" t="s">
        <v>746</v>
      </c>
      <c r="O255" s="444"/>
    </row>
    <row r="256" spans="1:15" ht="12.75">
      <c r="A256" s="478"/>
      <c r="B256" s="477"/>
      <c r="C256" s="1621" t="s">
        <v>747</v>
      </c>
      <c r="D256" s="1589"/>
      <c r="E256" s="476">
        <v>2</v>
      </c>
      <c r="F256" s="475"/>
      <c r="G256" s="230"/>
      <c r="H256" s="474"/>
      <c r="I256" s="473"/>
      <c r="J256" s="569"/>
      <c r="K256" s="572"/>
      <c r="L256" s="436"/>
      <c r="M256" s="472" t="s">
        <v>747</v>
      </c>
      <c r="O256" s="444"/>
    </row>
    <row r="257" spans="1:80" ht="12.75">
      <c r="A257" s="461">
        <v>80</v>
      </c>
      <c r="B257" s="460" t="s">
        <v>748</v>
      </c>
      <c r="C257" s="459" t="s">
        <v>749</v>
      </c>
      <c r="D257" s="458" t="s">
        <v>196</v>
      </c>
      <c r="E257" s="457">
        <v>3</v>
      </c>
      <c r="F257" s="457"/>
      <c r="G257" s="456">
        <f>E257*F257</f>
        <v>0</v>
      </c>
      <c r="H257" s="455">
        <v>0.0039</v>
      </c>
      <c r="I257" s="454">
        <f>E257*H257</f>
        <v>0.011699999999999999</v>
      </c>
      <c r="J257" s="570"/>
      <c r="K257" s="571">
        <f>E257*J257</f>
        <v>0</v>
      </c>
      <c r="L257" s="436"/>
      <c r="O257" s="444">
        <v>2</v>
      </c>
      <c r="AA257" s="434">
        <v>3</v>
      </c>
      <c r="AB257" s="434">
        <v>1</v>
      </c>
      <c r="AC257" s="434">
        <v>55149034</v>
      </c>
      <c r="AZ257" s="434">
        <v>2</v>
      </c>
      <c r="BA257" s="434">
        <f>IF(AZ257=1,G257,0)</f>
        <v>0</v>
      </c>
      <c r="BB257" s="434">
        <f>IF(AZ257=2,G257,0)</f>
        <v>0</v>
      </c>
      <c r="BC257" s="434">
        <f>IF(AZ257=3,G257,0)</f>
        <v>0</v>
      </c>
      <c r="BD257" s="434">
        <f>IF(AZ257=4,G257,0)</f>
        <v>0</v>
      </c>
      <c r="BE257" s="434">
        <f>IF(AZ257=5,G257,0)</f>
        <v>0</v>
      </c>
      <c r="CA257" s="444">
        <v>3</v>
      </c>
      <c r="CB257" s="444">
        <v>1</v>
      </c>
    </row>
    <row r="258" spans="1:15" ht="12.75">
      <c r="A258" s="478"/>
      <c r="B258" s="477"/>
      <c r="C258" s="1621" t="s">
        <v>735</v>
      </c>
      <c r="D258" s="1589"/>
      <c r="E258" s="476">
        <v>1</v>
      </c>
      <c r="F258" s="475"/>
      <c r="G258" s="230"/>
      <c r="H258" s="474"/>
      <c r="I258" s="473"/>
      <c r="J258" s="569"/>
      <c r="K258" s="572"/>
      <c r="L258" s="436"/>
      <c r="M258" s="472" t="s">
        <v>735</v>
      </c>
      <c r="O258" s="444"/>
    </row>
    <row r="259" spans="1:15" ht="12.75">
      <c r="A259" s="478"/>
      <c r="B259" s="477"/>
      <c r="C259" s="1621" t="s">
        <v>733</v>
      </c>
      <c r="D259" s="1589"/>
      <c r="E259" s="476">
        <v>1</v>
      </c>
      <c r="F259" s="475"/>
      <c r="G259" s="230"/>
      <c r="H259" s="474"/>
      <c r="I259" s="473"/>
      <c r="J259" s="569"/>
      <c r="K259" s="572"/>
      <c r="L259" s="436"/>
      <c r="M259" s="472" t="s">
        <v>733</v>
      </c>
      <c r="O259" s="444"/>
    </row>
    <row r="260" spans="1:15" ht="12.75">
      <c r="A260" s="478"/>
      <c r="B260" s="477"/>
      <c r="C260" s="1621" t="s">
        <v>734</v>
      </c>
      <c r="D260" s="1589"/>
      <c r="E260" s="476">
        <v>1</v>
      </c>
      <c r="F260" s="475"/>
      <c r="G260" s="230"/>
      <c r="H260" s="474"/>
      <c r="I260" s="473"/>
      <c r="J260" s="569"/>
      <c r="K260" s="572"/>
      <c r="L260" s="436"/>
      <c r="M260" s="472" t="s">
        <v>734</v>
      </c>
      <c r="O260" s="444"/>
    </row>
    <row r="261" spans="1:80" ht="12.75">
      <c r="A261" s="461">
        <v>81</v>
      </c>
      <c r="B261" s="460" t="s">
        <v>750</v>
      </c>
      <c r="C261" s="459" t="s">
        <v>751</v>
      </c>
      <c r="D261" s="458" t="s">
        <v>196</v>
      </c>
      <c r="E261" s="457">
        <v>7</v>
      </c>
      <c r="F261" s="457"/>
      <c r="G261" s="456">
        <f>E261*F261</f>
        <v>0</v>
      </c>
      <c r="H261" s="455">
        <v>0.0005</v>
      </c>
      <c r="I261" s="454">
        <f>E261*H261</f>
        <v>0.0035</v>
      </c>
      <c r="J261" s="570"/>
      <c r="K261" s="571">
        <f>E261*J261</f>
        <v>0</v>
      </c>
      <c r="L261" s="436"/>
      <c r="O261" s="444">
        <v>2</v>
      </c>
      <c r="AA261" s="434">
        <v>3</v>
      </c>
      <c r="AB261" s="434">
        <v>1</v>
      </c>
      <c r="AC261" s="434">
        <v>55149051</v>
      </c>
      <c r="AZ261" s="434">
        <v>2</v>
      </c>
      <c r="BA261" s="434">
        <f>IF(AZ261=1,G261,0)</f>
        <v>0</v>
      </c>
      <c r="BB261" s="434">
        <f>IF(AZ261=2,G261,0)</f>
        <v>0</v>
      </c>
      <c r="BC261" s="434">
        <f>IF(AZ261=3,G261,0)</f>
        <v>0</v>
      </c>
      <c r="BD261" s="434">
        <f>IF(AZ261=4,G261,0)</f>
        <v>0</v>
      </c>
      <c r="BE261" s="434">
        <f>IF(AZ261=5,G261,0)</f>
        <v>0</v>
      </c>
      <c r="CA261" s="444">
        <v>3</v>
      </c>
      <c r="CB261" s="444">
        <v>1</v>
      </c>
    </row>
    <row r="262" spans="1:15" ht="12.75">
      <c r="A262" s="478"/>
      <c r="B262" s="477"/>
      <c r="C262" s="1621" t="s">
        <v>752</v>
      </c>
      <c r="D262" s="1589"/>
      <c r="E262" s="476">
        <v>3</v>
      </c>
      <c r="F262" s="475"/>
      <c r="G262" s="230"/>
      <c r="H262" s="474"/>
      <c r="I262" s="473"/>
      <c r="J262" s="569"/>
      <c r="K262" s="572"/>
      <c r="L262" s="436"/>
      <c r="M262" s="472" t="s">
        <v>752</v>
      </c>
      <c r="O262" s="444"/>
    </row>
    <row r="263" spans="1:15" ht="12.75">
      <c r="A263" s="478"/>
      <c r="B263" s="477"/>
      <c r="C263" s="1621" t="s">
        <v>753</v>
      </c>
      <c r="D263" s="1589"/>
      <c r="E263" s="476">
        <v>3</v>
      </c>
      <c r="F263" s="475"/>
      <c r="G263" s="230"/>
      <c r="H263" s="474"/>
      <c r="I263" s="473"/>
      <c r="J263" s="569"/>
      <c r="K263" s="572"/>
      <c r="L263" s="436"/>
      <c r="M263" s="472" t="s">
        <v>753</v>
      </c>
      <c r="O263" s="444"/>
    </row>
    <row r="264" spans="1:15" ht="12.75">
      <c r="A264" s="478"/>
      <c r="B264" s="477"/>
      <c r="C264" s="1621" t="s">
        <v>754</v>
      </c>
      <c r="D264" s="1589"/>
      <c r="E264" s="476">
        <v>1</v>
      </c>
      <c r="F264" s="475"/>
      <c r="G264" s="230"/>
      <c r="H264" s="474"/>
      <c r="I264" s="473"/>
      <c r="J264" s="569"/>
      <c r="K264" s="572"/>
      <c r="L264" s="436"/>
      <c r="M264" s="472" t="s">
        <v>754</v>
      </c>
      <c r="O264" s="444"/>
    </row>
    <row r="265" spans="1:80" ht="12.75">
      <c r="A265" s="461">
        <v>82</v>
      </c>
      <c r="B265" s="460" t="s">
        <v>755</v>
      </c>
      <c r="C265" s="459" t="s">
        <v>756</v>
      </c>
      <c r="D265" s="458" t="s">
        <v>757</v>
      </c>
      <c r="E265" s="457">
        <v>1</v>
      </c>
      <c r="F265" s="457"/>
      <c r="G265" s="456">
        <f>E265*F265</f>
        <v>0</v>
      </c>
      <c r="H265" s="455">
        <v>0</v>
      </c>
      <c r="I265" s="454">
        <f>E265*H265</f>
        <v>0</v>
      </c>
      <c r="J265" s="570"/>
      <c r="K265" s="571">
        <f>E265*J265</f>
        <v>0</v>
      </c>
      <c r="L265" s="436"/>
      <c r="O265" s="444">
        <v>2</v>
      </c>
      <c r="AA265" s="434">
        <v>3</v>
      </c>
      <c r="AB265" s="434">
        <v>7</v>
      </c>
      <c r="AC265" s="434">
        <v>55149052</v>
      </c>
      <c r="AZ265" s="434">
        <v>2</v>
      </c>
      <c r="BA265" s="434">
        <f>IF(AZ265=1,G265,0)</f>
        <v>0</v>
      </c>
      <c r="BB265" s="434">
        <f>IF(AZ265=2,G265,0)</f>
        <v>0</v>
      </c>
      <c r="BC265" s="434">
        <f>IF(AZ265=3,G265,0)</f>
        <v>0</v>
      </c>
      <c r="BD265" s="434">
        <f>IF(AZ265=4,G265,0)</f>
        <v>0</v>
      </c>
      <c r="BE265" s="434">
        <f>IF(AZ265=5,G265,0)</f>
        <v>0</v>
      </c>
      <c r="CA265" s="444">
        <v>3</v>
      </c>
      <c r="CB265" s="444">
        <v>7</v>
      </c>
    </row>
    <row r="266" spans="1:80" ht="12.75">
      <c r="A266" s="461">
        <v>83</v>
      </c>
      <c r="B266" s="460" t="s">
        <v>758</v>
      </c>
      <c r="C266" s="459" t="s">
        <v>759</v>
      </c>
      <c r="D266" s="458" t="s">
        <v>196</v>
      </c>
      <c r="E266" s="457">
        <v>2</v>
      </c>
      <c r="F266" s="457"/>
      <c r="G266" s="456">
        <f>E266*F266</f>
        <v>0</v>
      </c>
      <c r="H266" s="455">
        <v>0.0023</v>
      </c>
      <c r="I266" s="454">
        <f>E266*H266</f>
        <v>0.0046</v>
      </c>
      <c r="J266" s="570"/>
      <c r="K266" s="571">
        <f>E266*J266</f>
        <v>0</v>
      </c>
      <c r="L266" s="436"/>
      <c r="O266" s="444">
        <v>2</v>
      </c>
      <c r="AA266" s="434">
        <v>3</v>
      </c>
      <c r="AB266" s="434">
        <v>7</v>
      </c>
      <c r="AC266" s="434">
        <v>55440112</v>
      </c>
      <c r="AZ266" s="434">
        <v>2</v>
      </c>
      <c r="BA266" s="434">
        <f>IF(AZ266=1,G266,0)</f>
        <v>0</v>
      </c>
      <c r="BB266" s="434">
        <f>IF(AZ266=2,G266,0)</f>
        <v>0</v>
      </c>
      <c r="BC266" s="434">
        <f>IF(AZ266=3,G266,0)</f>
        <v>0</v>
      </c>
      <c r="BD266" s="434">
        <f>IF(AZ266=4,G266,0)</f>
        <v>0</v>
      </c>
      <c r="BE266" s="434">
        <f>IF(AZ266=5,G266,0)</f>
        <v>0</v>
      </c>
      <c r="CA266" s="444">
        <v>3</v>
      </c>
      <c r="CB266" s="444">
        <v>7</v>
      </c>
    </row>
    <row r="267" spans="1:15" ht="12.75">
      <c r="A267" s="478"/>
      <c r="B267" s="477"/>
      <c r="C267" s="1621" t="s">
        <v>760</v>
      </c>
      <c r="D267" s="1589"/>
      <c r="E267" s="476">
        <v>2</v>
      </c>
      <c r="F267" s="475"/>
      <c r="G267" s="230"/>
      <c r="H267" s="474"/>
      <c r="I267" s="473"/>
      <c r="J267" s="569"/>
      <c r="K267" s="572"/>
      <c r="L267" s="436"/>
      <c r="M267" s="472" t="s">
        <v>760</v>
      </c>
      <c r="O267" s="444"/>
    </row>
    <row r="268" spans="1:80" ht="12.75">
      <c r="A268" s="461">
        <v>84</v>
      </c>
      <c r="B268" s="460" t="s">
        <v>761</v>
      </c>
      <c r="C268" s="459" t="s">
        <v>762</v>
      </c>
      <c r="D268" s="458" t="s">
        <v>196</v>
      </c>
      <c r="E268" s="457">
        <v>1</v>
      </c>
      <c r="F268" s="457"/>
      <c r="G268" s="456">
        <f>E268*F268</f>
        <v>0</v>
      </c>
      <c r="H268" s="455">
        <v>0.0013</v>
      </c>
      <c r="I268" s="454">
        <f>E268*H268</f>
        <v>0.0013</v>
      </c>
      <c r="J268" s="570"/>
      <c r="K268" s="571">
        <f>E268*J268</f>
        <v>0</v>
      </c>
      <c r="L268" s="436"/>
      <c r="O268" s="444">
        <v>2</v>
      </c>
      <c r="AA268" s="434">
        <v>3</v>
      </c>
      <c r="AB268" s="434">
        <v>7</v>
      </c>
      <c r="AC268" s="434">
        <v>5544887</v>
      </c>
      <c r="AZ268" s="434">
        <v>2</v>
      </c>
      <c r="BA268" s="434">
        <f>IF(AZ268=1,G268,0)</f>
        <v>0</v>
      </c>
      <c r="BB268" s="434">
        <f>IF(AZ268=2,G268,0)</f>
        <v>0</v>
      </c>
      <c r="BC268" s="434">
        <f>IF(AZ268=3,G268,0)</f>
        <v>0</v>
      </c>
      <c r="BD268" s="434">
        <f>IF(AZ268=4,G268,0)</f>
        <v>0</v>
      </c>
      <c r="BE268" s="434">
        <f>IF(AZ268=5,G268,0)</f>
        <v>0</v>
      </c>
      <c r="CA268" s="444">
        <v>3</v>
      </c>
      <c r="CB268" s="444">
        <v>7</v>
      </c>
    </row>
    <row r="269" spans="1:15" ht="12.75">
      <c r="A269" s="478"/>
      <c r="B269" s="477"/>
      <c r="C269" s="1621" t="s">
        <v>763</v>
      </c>
      <c r="D269" s="1589"/>
      <c r="E269" s="476">
        <v>0</v>
      </c>
      <c r="F269" s="475"/>
      <c r="G269" s="230"/>
      <c r="H269" s="474"/>
      <c r="I269" s="473"/>
      <c r="J269" s="569"/>
      <c r="K269" s="572"/>
      <c r="L269" s="436"/>
      <c r="M269" s="472" t="s">
        <v>763</v>
      </c>
      <c r="O269" s="444"/>
    </row>
    <row r="270" spans="1:15" ht="12.75">
      <c r="A270" s="478"/>
      <c r="B270" s="477"/>
      <c r="C270" s="1621" t="s">
        <v>764</v>
      </c>
      <c r="D270" s="1589"/>
      <c r="E270" s="476">
        <v>1</v>
      </c>
      <c r="F270" s="475"/>
      <c r="G270" s="230"/>
      <c r="H270" s="474"/>
      <c r="I270" s="473"/>
      <c r="J270" s="569"/>
      <c r="K270" s="572"/>
      <c r="L270" s="436"/>
      <c r="M270" s="472" t="s">
        <v>764</v>
      </c>
      <c r="O270" s="444"/>
    </row>
    <row r="271" spans="1:80" ht="12.75">
      <c r="A271" s="461">
        <v>85</v>
      </c>
      <c r="B271" s="460" t="s">
        <v>765</v>
      </c>
      <c r="C271" s="459" t="s">
        <v>766</v>
      </c>
      <c r="D271" s="458" t="s">
        <v>9</v>
      </c>
      <c r="E271" s="457"/>
      <c r="F271" s="457"/>
      <c r="G271" s="456">
        <f>E271*F271</f>
        <v>0</v>
      </c>
      <c r="H271" s="455">
        <v>0</v>
      </c>
      <c r="I271" s="454">
        <f>E271*H271</f>
        <v>0</v>
      </c>
      <c r="J271" s="570"/>
      <c r="K271" s="571">
        <f>E271*J271</f>
        <v>0</v>
      </c>
      <c r="L271" s="436"/>
      <c r="O271" s="444">
        <v>2</v>
      </c>
      <c r="AA271" s="434">
        <v>7</v>
      </c>
      <c r="AB271" s="434">
        <v>1002</v>
      </c>
      <c r="AC271" s="434">
        <v>5</v>
      </c>
      <c r="AZ271" s="434">
        <v>2</v>
      </c>
      <c r="BA271" s="434">
        <f>IF(AZ271=1,G271,0)</f>
        <v>0</v>
      </c>
      <c r="BB271" s="434">
        <f>IF(AZ271=2,G271,0)</f>
        <v>0</v>
      </c>
      <c r="BC271" s="434">
        <f>IF(AZ271=3,G271,0)</f>
        <v>0</v>
      </c>
      <c r="BD271" s="434">
        <f>IF(AZ271=4,G271,0)</f>
        <v>0</v>
      </c>
      <c r="BE271" s="434">
        <f>IF(AZ271=5,G271,0)</f>
        <v>0</v>
      </c>
      <c r="CA271" s="444">
        <v>7</v>
      </c>
      <c r="CB271" s="444">
        <v>1002</v>
      </c>
    </row>
    <row r="272" spans="1:57" ht="12.75">
      <c r="A272" s="453"/>
      <c r="B272" s="452" t="s">
        <v>175</v>
      </c>
      <c r="C272" s="451" t="s">
        <v>767</v>
      </c>
      <c r="D272" s="450"/>
      <c r="E272" s="449"/>
      <c r="F272" s="448"/>
      <c r="G272" s="447">
        <f>SUM(G238:G271)</f>
        <v>0</v>
      </c>
      <c r="H272" s="446"/>
      <c r="I272" s="445">
        <f>SUM(I238:I271)</f>
        <v>0.12712</v>
      </c>
      <c r="J272" s="568"/>
      <c r="K272" s="576">
        <f>SUM(K238:K271)</f>
        <v>0</v>
      </c>
      <c r="L272" s="436"/>
      <c r="O272" s="444">
        <v>4</v>
      </c>
      <c r="BA272" s="443">
        <f>SUM(BA238:BA271)</f>
        <v>0</v>
      </c>
      <c r="BB272" s="443">
        <f>SUM(BB238:BB271)</f>
        <v>0</v>
      </c>
      <c r="BC272" s="443">
        <f>SUM(BC238:BC271)</f>
        <v>0</v>
      </c>
      <c r="BD272" s="443">
        <f>SUM(BD238:BD271)</f>
        <v>0</v>
      </c>
      <c r="BE272" s="443">
        <f>SUM(BE238:BE271)</f>
        <v>0</v>
      </c>
    </row>
    <row r="273" spans="1:15" ht="12.75">
      <c r="A273" s="471" t="s">
        <v>140</v>
      </c>
      <c r="B273" s="470" t="s">
        <v>768</v>
      </c>
      <c r="C273" s="469" t="s">
        <v>769</v>
      </c>
      <c r="D273" s="468"/>
      <c r="E273" s="467"/>
      <c r="F273" s="467"/>
      <c r="G273" s="466"/>
      <c r="H273" s="465"/>
      <c r="I273" s="464"/>
      <c r="J273" s="568"/>
      <c r="K273" s="569"/>
      <c r="L273" s="436"/>
      <c r="O273" s="444">
        <v>1</v>
      </c>
    </row>
    <row r="274" spans="1:80" ht="12.75">
      <c r="A274" s="461">
        <v>86</v>
      </c>
      <c r="B274" s="1730" t="s">
        <v>770</v>
      </c>
      <c r="C274" s="1731" t="s">
        <v>771</v>
      </c>
      <c r="D274" s="1732" t="s">
        <v>181</v>
      </c>
      <c r="E274" s="1733">
        <v>1</v>
      </c>
      <c r="F274" s="457"/>
      <c r="G274" s="456"/>
      <c r="H274" s="455">
        <v>0</v>
      </c>
      <c r="I274" s="454">
        <f>E274*H274</f>
        <v>0</v>
      </c>
      <c r="J274" s="570">
        <v>0</v>
      </c>
      <c r="K274" s="571">
        <f>E274*J274</f>
        <v>0</v>
      </c>
      <c r="L274" s="436"/>
      <c r="O274" s="444">
        <v>2</v>
      </c>
      <c r="AA274" s="434">
        <v>1</v>
      </c>
      <c r="AB274" s="434">
        <v>7</v>
      </c>
      <c r="AC274" s="434">
        <v>7</v>
      </c>
      <c r="AZ274" s="434">
        <v>2</v>
      </c>
      <c r="BA274" s="434">
        <f>IF(AZ274=1,G274,0)</f>
        <v>0</v>
      </c>
      <c r="BB274" s="434">
        <f>IF(AZ274=2,G274,0)</f>
        <v>0</v>
      </c>
      <c r="BC274" s="434">
        <f>IF(AZ274=3,G274,0)</f>
        <v>0</v>
      </c>
      <c r="BD274" s="434">
        <f>IF(AZ274=4,G274,0)</f>
        <v>0</v>
      </c>
      <c r="BE274" s="434">
        <f>IF(AZ274=5,G274,0)</f>
        <v>0</v>
      </c>
      <c r="CA274" s="444">
        <v>1</v>
      </c>
      <c r="CB274" s="444">
        <v>7</v>
      </c>
    </row>
    <row r="275" spans="1:80" ht="12.75">
      <c r="A275" s="461">
        <v>87</v>
      </c>
      <c r="B275" s="1730" t="s">
        <v>772</v>
      </c>
      <c r="C275" s="1731" t="s">
        <v>773</v>
      </c>
      <c r="D275" s="1732" t="s">
        <v>9</v>
      </c>
      <c r="E275" s="1733"/>
      <c r="F275" s="457"/>
      <c r="G275" s="456"/>
      <c r="H275" s="455">
        <v>0</v>
      </c>
      <c r="I275" s="454">
        <f>E275*H275</f>
        <v>0</v>
      </c>
      <c r="J275" s="570"/>
      <c r="K275" s="571">
        <f>E275*J275</f>
        <v>0</v>
      </c>
      <c r="L275" s="436"/>
      <c r="O275" s="444">
        <v>2</v>
      </c>
      <c r="AA275" s="434">
        <v>7</v>
      </c>
      <c r="AB275" s="434">
        <v>1001</v>
      </c>
      <c r="AC275" s="434">
        <v>5</v>
      </c>
      <c r="AZ275" s="434">
        <v>2</v>
      </c>
      <c r="BA275" s="434">
        <f>IF(AZ275=1,G275,0)</f>
        <v>0</v>
      </c>
      <c r="BB275" s="434">
        <f>IF(AZ275=2,G275,0)</f>
        <v>0</v>
      </c>
      <c r="BC275" s="434">
        <f>IF(AZ275=3,G275,0)</f>
        <v>0</v>
      </c>
      <c r="BD275" s="434">
        <f>IF(AZ275=4,G275,0)</f>
        <v>0</v>
      </c>
      <c r="BE275" s="434">
        <f>IF(AZ275=5,G275,0)</f>
        <v>0</v>
      </c>
      <c r="CA275" s="444">
        <v>7</v>
      </c>
      <c r="CB275" s="444">
        <v>1001</v>
      </c>
    </row>
    <row r="276" spans="1:57" ht="12.75">
      <c r="A276" s="453"/>
      <c r="B276" s="452" t="s">
        <v>175</v>
      </c>
      <c r="C276" s="451" t="s">
        <v>774</v>
      </c>
      <c r="D276" s="450"/>
      <c r="E276" s="449"/>
      <c r="F276" s="448"/>
      <c r="G276" s="447">
        <f>SUM(G273:G275)</f>
        <v>0</v>
      </c>
      <c r="H276" s="446"/>
      <c r="I276" s="445">
        <f>SUM(I273:I275)</f>
        <v>0</v>
      </c>
      <c r="J276" s="568"/>
      <c r="K276" s="576">
        <f>SUM(K273:K275)</f>
        <v>0</v>
      </c>
      <c r="L276" s="436"/>
      <c r="O276" s="444">
        <v>4</v>
      </c>
      <c r="BA276" s="443">
        <f>SUM(BA273:BA275)</f>
        <v>0</v>
      </c>
      <c r="BB276" s="443">
        <f>SUM(BB273:BB275)</f>
        <v>0</v>
      </c>
      <c r="BC276" s="443">
        <f>SUM(BC273:BC275)</f>
        <v>0</v>
      </c>
      <c r="BD276" s="443">
        <f>SUM(BD273:BD275)</f>
        <v>0</v>
      </c>
      <c r="BE276" s="443">
        <f>SUM(BE273:BE275)</f>
        <v>0</v>
      </c>
    </row>
    <row r="277" spans="1:15" ht="12.75">
      <c r="A277" s="471" t="s">
        <v>140</v>
      </c>
      <c r="B277" s="470" t="s">
        <v>239</v>
      </c>
      <c r="C277" s="469" t="s">
        <v>240</v>
      </c>
      <c r="D277" s="468"/>
      <c r="E277" s="467"/>
      <c r="F277" s="467"/>
      <c r="G277" s="466"/>
      <c r="H277" s="465"/>
      <c r="I277" s="464"/>
      <c r="J277" s="568"/>
      <c r="K277" s="569"/>
      <c r="L277" s="436"/>
      <c r="O277" s="444">
        <v>1</v>
      </c>
    </row>
    <row r="278" spans="1:80" ht="12.75">
      <c r="A278" s="461">
        <v>88</v>
      </c>
      <c r="B278" s="460" t="s">
        <v>775</v>
      </c>
      <c r="C278" s="459" t="s">
        <v>776</v>
      </c>
      <c r="D278" s="458" t="s">
        <v>145</v>
      </c>
      <c r="E278" s="457">
        <v>95.76</v>
      </c>
      <c r="F278" s="457"/>
      <c r="G278" s="456">
        <f>E278*F278</f>
        <v>0</v>
      </c>
      <c r="H278" s="455">
        <v>0.01608</v>
      </c>
      <c r="I278" s="454">
        <f>E278*H278</f>
        <v>1.5398208000000002</v>
      </c>
      <c r="J278" s="570">
        <v>0</v>
      </c>
      <c r="K278" s="571">
        <f>E278*J278</f>
        <v>0</v>
      </c>
      <c r="L278" s="436"/>
      <c r="O278" s="444">
        <v>2</v>
      </c>
      <c r="AA278" s="434">
        <v>1</v>
      </c>
      <c r="AB278" s="434">
        <v>0</v>
      </c>
      <c r="AC278" s="434">
        <v>0</v>
      </c>
      <c r="AZ278" s="434">
        <v>2</v>
      </c>
      <c r="BA278" s="434">
        <f>IF(AZ278=1,G278,0)</f>
        <v>0</v>
      </c>
      <c r="BB278" s="434">
        <f>IF(AZ278=2,G278,0)</f>
        <v>0</v>
      </c>
      <c r="BC278" s="434">
        <f>IF(AZ278=3,G278,0)</f>
        <v>0</v>
      </c>
      <c r="BD278" s="434">
        <f>IF(AZ278=4,G278,0)</f>
        <v>0</v>
      </c>
      <c r="BE278" s="434">
        <f>IF(AZ278=5,G278,0)</f>
        <v>0</v>
      </c>
      <c r="CA278" s="444">
        <v>1</v>
      </c>
      <c r="CB278" s="444">
        <v>0</v>
      </c>
    </row>
    <row r="279" spans="1:15" ht="12.75">
      <c r="A279" s="478"/>
      <c r="B279" s="477"/>
      <c r="C279" s="1621" t="s">
        <v>777</v>
      </c>
      <c r="D279" s="1589"/>
      <c r="E279" s="476">
        <v>95.76</v>
      </c>
      <c r="F279" s="475"/>
      <c r="G279" s="230"/>
      <c r="H279" s="474"/>
      <c r="I279" s="473"/>
      <c r="J279" s="569"/>
      <c r="K279" s="572"/>
      <c r="L279" s="436"/>
      <c r="M279" s="472" t="s">
        <v>777</v>
      </c>
      <c r="O279" s="444"/>
    </row>
    <row r="280" spans="1:80" ht="12.75">
      <c r="A280" s="461">
        <v>89</v>
      </c>
      <c r="B280" s="460" t="s">
        <v>778</v>
      </c>
      <c r="C280" s="459" t="s">
        <v>779</v>
      </c>
      <c r="D280" s="458" t="s">
        <v>145</v>
      </c>
      <c r="E280" s="457">
        <v>23.76</v>
      </c>
      <c r="F280" s="457"/>
      <c r="G280" s="456">
        <f>E280*F280</f>
        <v>0</v>
      </c>
      <c r="H280" s="455">
        <v>0.02824</v>
      </c>
      <c r="I280" s="454">
        <f>E280*H280</f>
        <v>0.6709824000000001</v>
      </c>
      <c r="J280" s="570">
        <v>0</v>
      </c>
      <c r="K280" s="571">
        <f>E280*J280</f>
        <v>0</v>
      </c>
      <c r="L280" s="436"/>
      <c r="O280" s="444">
        <v>2</v>
      </c>
      <c r="AA280" s="434">
        <v>1</v>
      </c>
      <c r="AB280" s="434">
        <v>7</v>
      </c>
      <c r="AC280" s="434">
        <v>7</v>
      </c>
      <c r="AZ280" s="434">
        <v>2</v>
      </c>
      <c r="BA280" s="434">
        <f>IF(AZ280=1,G280,0)</f>
        <v>0</v>
      </c>
      <c r="BB280" s="434">
        <f>IF(AZ280=2,G280,0)</f>
        <v>0</v>
      </c>
      <c r="BC280" s="434">
        <f>IF(AZ280=3,G280,0)</f>
        <v>0</v>
      </c>
      <c r="BD280" s="434">
        <f>IF(AZ280=4,G280,0)</f>
        <v>0</v>
      </c>
      <c r="BE280" s="434">
        <f>IF(AZ280=5,G280,0)</f>
        <v>0</v>
      </c>
      <c r="CA280" s="444">
        <v>1</v>
      </c>
      <c r="CB280" s="444">
        <v>7</v>
      </c>
    </row>
    <row r="281" spans="1:15" ht="12.75">
      <c r="A281" s="478"/>
      <c r="B281" s="477"/>
      <c r="C281" s="1621" t="s">
        <v>634</v>
      </c>
      <c r="D281" s="1589"/>
      <c r="E281" s="476">
        <v>0</v>
      </c>
      <c r="F281" s="475"/>
      <c r="G281" s="230"/>
      <c r="H281" s="474"/>
      <c r="I281" s="473"/>
      <c r="J281" s="569"/>
      <c r="K281" s="572"/>
      <c r="L281" s="436"/>
      <c r="M281" s="472" t="s">
        <v>634</v>
      </c>
      <c r="O281" s="444"/>
    </row>
    <row r="282" spans="1:15" ht="12.75">
      <c r="A282" s="478"/>
      <c r="B282" s="477"/>
      <c r="C282" s="1621" t="s">
        <v>635</v>
      </c>
      <c r="D282" s="1589"/>
      <c r="E282" s="476">
        <v>23.76</v>
      </c>
      <c r="F282" s="475"/>
      <c r="G282" s="230"/>
      <c r="H282" s="474"/>
      <c r="I282" s="473"/>
      <c r="J282" s="569"/>
      <c r="K282" s="572"/>
      <c r="L282" s="436"/>
      <c r="M282" s="472" t="s">
        <v>635</v>
      </c>
      <c r="O282" s="444"/>
    </row>
    <row r="283" spans="1:80" ht="12.75">
      <c r="A283" s="461">
        <v>90</v>
      </c>
      <c r="B283" s="460" t="s">
        <v>780</v>
      </c>
      <c r="C283" s="459" t="s">
        <v>781</v>
      </c>
      <c r="D283" s="458" t="s">
        <v>145</v>
      </c>
      <c r="E283" s="457">
        <v>20.28</v>
      </c>
      <c r="F283" s="457"/>
      <c r="G283" s="456">
        <f>E283*F283</f>
        <v>0</v>
      </c>
      <c r="H283" s="455">
        <v>0</v>
      </c>
      <c r="I283" s="454">
        <f>E283*H283</f>
        <v>0</v>
      </c>
      <c r="J283" s="570">
        <v>0</v>
      </c>
      <c r="K283" s="571">
        <f>E283*J283</f>
        <v>0</v>
      </c>
      <c r="L283" s="436"/>
      <c r="O283" s="444">
        <v>2</v>
      </c>
      <c r="AA283" s="434">
        <v>1</v>
      </c>
      <c r="AB283" s="434">
        <v>0</v>
      </c>
      <c r="AC283" s="434">
        <v>0</v>
      </c>
      <c r="AZ283" s="434">
        <v>2</v>
      </c>
      <c r="BA283" s="434">
        <f>IF(AZ283=1,G283,0)</f>
        <v>0</v>
      </c>
      <c r="BB283" s="434">
        <f>IF(AZ283=2,G283,0)</f>
        <v>0</v>
      </c>
      <c r="BC283" s="434">
        <f>IF(AZ283=3,G283,0)</f>
        <v>0</v>
      </c>
      <c r="BD283" s="434">
        <f>IF(AZ283=4,G283,0)</f>
        <v>0</v>
      </c>
      <c r="BE283" s="434">
        <f>IF(AZ283=5,G283,0)</f>
        <v>0</v>
      </c>
      <c r="CA283" s="444">
        <v>1</v>
      </c>
      <c r="CB283" s="444">
        <v>0</v>
      </c>
    </row>
    <row r="284" spans="1:15" ht="12.75">
      <c r="A284" s="478"/>
      <c r="B284" s="477"/>
      <c r="C284" s="1621" t="s">
        <v>636</v>
      </c>
      <c r="D284" s="1589"/>
      <c r="E284" s="476">
        <v>15.96</v>
      </c>
      <c r="F284" s="475"/>
      <c r="G284" s="230"/>
      <c r="H284" s="474"/>
      <c r="I284" s="473"/>
      <c r="J284" s="569"/>
      <c r="K284" s="572"/>
      <c r="L284" s="436"/>
      <c r="M284" s="472" t="s">
        <v>636</v>
      </c>
      <c r="O284" s="444"/>
    </row>
    <row r="285" spans="1:15" ht="12.75">
      <c r="A285" s="478"/>
      <c r="B285" s="477"/>
      <c r="C285" s="1621" t="s">
        <v>637</v>
      </c>
      <c r="D285" s="1589"/>
      <c r="E285" s="476">
        <v>4.32</v>
      </c>
      <c r="F285" s="475"/>
      <c r="G285" s="230"/>
      <c r="H285" s="474"/>
      <c r="I285" s="473"/>
      <c r="J285" s="569"/>
      <c r="K285" s="572"/>
      <c r="L285" s="436"/>
      <c r="M285" s="472" t="s">
        <v>637</v>
      </c>
      <c r="O285" s="444"/>
    </row>
    <row r="286" spans="1:80" ht="20.4">
      <c r="A286" s="461">
        <v>91</v>
      </c>
      <c r="B286" s="460" t="s">
        <v>782</v>
      </c>
      <c r="C286" s="459" t="s">
        <v>783</v>
      </c>
      <c r="D286" s="458" t="s">
        <v>145</v>
      </c>
      <c r="E286" s="457">
        <v>44.52</v>
      </c>
      <c r="F286" s="457"/>
      <c r="G286" s="456">
        <f>E286*F286</f>
        <v>0</v>
      </c>
      <c r="H286" s="455">
        <v>0.00145</v>
      </c>
      <c r="I286" s="454">
        <f>E286*H286</f>
        <v>0.064554</v>
      </c>
      <c r="J286" s="570">
        <v>0</v>
      </c>
      <c r="K286" s="571">
        <f>E286*J286</f>
        <v>0</v>
      </c>
      <c r="L286" s="436"/>
      <c r="O286" s="444">
        <v>2</v>
      </c>
      <c r="AA286" s="434">
        <v>1</v>
      </c>
      <c r="AB286" s="434">
        <v>0</v>
      </c>
      <c r="AC286" s="434">
        <v>0</v>
      </c>
      <c r="AZ286" s="434">
        <v>2</v>
      </c>
      <c r="BA286" s="434">
        <f>IF(AZ286=1,G286,0)</f>
        <v>0</v>
      </c>
      <c r="BB286" s="434">
        <f>IF(AZ286=2,G286,0)</f>
        <v>0</v>
      </c>
      <c r="BC286" s="434">
        <f>IF(AZ286=3,G286,0)</f>
        <v>0</v>
      </c>
      <c r="BD286" s="434">
        <f>IF(AZ286=4,G286,0)</f>
        <v>0</v>
      </c>
      <c r="BE286" s="434">
        <f>IF(AZ286=5,G286,0)</f>
        <v>0</v>
      </c>
      <c r="CA286" s="444">
        <v>1</v>
      </c>
      <c r="CB286" s="444">
        <v>0</v>
      </c>
    </row>
    <row r="287" spans="1:15" ht="12.75">
      <c r="A287" s="478"/>
      <c r="B287" s="477"/>
      <c r="C287" s="1621" t="s">
        <v>634</v>
      </c>
      <c r="D287" s="1589"/>
      <c r="E287" s="476">
        <v>0</v>
      </c>
      <c r="F287" s="475"/>
      <c r="G287" s="230"/>
      <c r="H287" s="474"/>
      <c r="I287" s="473"/>
      <c r="J287" s="569"/>
      <c r="K287" s="572"/>
      <c r="L287" s="436"/>
      <c r="M287" s="472" t="s">
        <v>634</v>
      </c>
      <c r="O287" s="444"/>
    </row>
    <row r="288" spans="1:15" ht="12.75">
      <c r="A288" s="478"/>
      <c r="B288" s="477"/>
      <c r="C288" s="1621" t="s">
        <v>784</v>
      </c>
      <c r="D288" s="1589"/>
      <c r="E288" s="476">
        <v>15.96</v>
      </c>
      <c r="F288" s="475"/>
      <c r="G288" s="230"/>
      <c r="H288" s="474"/>
      <c r="I288" s="473"/>
      <c r="J288" s="569"/>
      <c r="K288" s="572"/>
      <c r="L288" s="436"/>
      <c r="M288" s="472" t="s">
        <v>784</v>
      </c>
      <c r="O288" s="444"/>
    </row>
    <row r="289" spans="1:15" ht="12.75">
      <c r="A289" s="478"/>
      <c r="B289" s="477"/>
      <c r="C289" s="1621" t="s">
        <v>637</v>
      </c>
      <c r="D289" s="1589"/>
      <c r="E289" s="476">
        <v>4.32</v>
      </c>
      <c r="F289" s="475"/>
      <c r="G289" s="230"/>
      <c r="H289" s="474"/>
      <c r="I289" s="473"/>
      <c r="J289" s="569"/>
      <c r="K289" s="572"/>
      <c r="L289" s="436"/>
      <c r="M289" s="472" t="s">
        <v>637</v>
      </c>
      <c r="O289" s="444"/>
    </row>
    <row r="290" spans="1:15" ht="12.75">
      <c r="A290" s="478"/>
      <c r="B290" s="477"/>
      <c r="C290" s="1621" t="s">
        <v>785</v>
      </c>
      <c r="D290" s="1589"/>
      <c r="E290" s="476">
        <v>21.6</v>
      </c>
      <c r="F290" s="475"/>
      <c r="G290" s="230"/>
      <c r="H290" s="474"/>
      <c r="I290" s="473"/>
      <c r="J290" s="569"/>
      <c r="K290" s="572"/>
      <c r="L290" s="436"/>
      <c r="M290" s="472" t="s">
        <v>785</v>
      </c>
      <c r="O290" s="444"/>
    </row>
    <row r="291" spans="1:15" ht="12.75">
      <c r="A291" s="478"/>
      <c r="B291" s="477"/>
      <c r="C291" s="1621" t="s">
        <v>786</v>
      </c>
      <c r="D291" s="1589"/>
      <c r="E291" s="476">
        <v>2.64</v>
      </c>
      <c r="F291" s="475"/>
      <c r="G291" s="230"/>
      <c r="H291" s="474"/>
      <c r="I291" s="473"/>
      <c r="J291" s="569"/>
      <c r="K291" s="572"/>
      <c r="L291" s="436"/>
      <c r="M291" s="472" t="s">
        <v>786</v>
      </c>
      <c r="O291" s="444"/>
    </row>
    <row r="292" spans="1:80" ht="12.75">
      <c r="A292" s="461">
        <v>92</v>
      </c>
      <c r="B292" s="460" t="s">
        <v>787</v>
      </c>
      <c r="C292" s="459" t="s">
        <v>788</v>
      </c>
      <c r="D292" s="458" t="s">
        <v>154</v>
      </c>
      <c r="E292" s="457">
        <v>8.6836</v>
      </c>
      <c r="F292" s="457"/>
      <c r="G292" s="456">
        <f>E292*F292</f>
        <v>0</v>
      </c>
      <c r="H292" s="455">
        <v>0.02357</v>
      </c>
      <c r="I292" s="454">
        <f>E292*H292</f>
        <v>0.204672452</v>
      </c>
      <c r="J292" s="570">
        <v>0</v>
      </c>
      <c r="K292" s="571">
        <f>E292*J292</f>
        <v>0</v>
      </c>
      <c r="L292" s="436"/>
      <c r="O292" s="444">
        <v>2</v>
      </c>
      <c r="AA292" s="434">
        <v>1</v>
      </c>
      <c r="AB292" s="434">
        <v>7</v>
      </c>
      <c r="AC292" s="434">
        <v>7</v>
      </c>
      <c r="AZ292" s="434">
        <v>2</v>
      </c>
      <c r="BA292" s="434">
        <f>IF(AZ292=1,G292,0)</f>
        <v>0</v>
      </c>
      <c r="BB292" s="434">
        <f>IF(AZ292=2,G292,0)</f>
        <v>0</v>
      </c>
      <c r="BC292" s="434">
        <f>IF(AZ292=3,G292,0)</f>
        <v>0</v>
      </c>
      <c r="BD292" s="434">
        <f>IF(AZ292=4,G292,0)</f>
        <v>0</v>
      </c>
      <c r="BE292" s="434">
        <f>IF(AZ292=5,G292,0)</f>
        <v>0</v>
      </c>
      <c r="CA292" s="444">
        <v>1</v>
      </c>
      <c r="CB292" s="444">
        <v>7</v>
      </c>
    </row>
    <row r="293" spans="1:15" ht="12.75">
      <c r="A293" s="478"/>
      <c r="B293" s="477"/>
      <c r="C293" s="1621" t="s">
        <v>789</v>
      </c>
      <c r="D293" s="1589"/>
      <c r="E293" s="476">
        <v>3.971</v>
      </c>
      <c r="F293" s="475"/>
      <c r="G293" s="230"/>
      <c r="H293" s="474"/>
      <c r="I293" s="473"/>
      <c r="J293" s="569"/>
      <c r="K293" s="572"/>
      <c r="L293" s="436"/>
      <c r="M293" s="472" t="s">
        <v>789</v>
      </c>
      <c r="O293" s="444"/>
    </row>
    <row r="294" spans="1:15" ht="12.75">
      <c r="A294" s="478"/>
      <c r="B294" s="477"/>
      <c r="C294" s="1621" t="s">
        <v>790</v>
      </c>
      <c r="D294" s="1589"/>
      <c r="E294" s="476">
        <v>3.1579</v>
      </c>
      <c r="F294" s="475"/>
      <c r="G294" s="230"/>
      <c r="H294" s="474"/>
      <c r="I294" s="473"/>
      <c r="J294" s="569"/>
      <c r="K294" s="572"/>
      <c r="L294" s="436"/>
      <c r="M294" s="472" t="s">
        <v>790</v>
      </c>
      <c r="O294" s="444"/>
    </row>
    <row r="295" spans="1:15" ht="12.75">
      <c r="A295" s="478"/>
      <c r="B295" s="477"/>
      <c r="C295" s="1621" t="s">
        <v>791</v>
      </c>
      <c r="D295" s="1589"/>
      <c r="E295" s="476">
        <v>0.7927</v>
      </c>
      <c r="F295" s="475"/>
      <c r="G295" s="230"/>
      <c r="H295" s="474"/>
      <c r="I295" s="473"/>
      <c r="J295" s="569"/>
      <c r="K295" s="572"/>
      <c r="L295" s="436"/>
      <c r="M295" s="472" t="s">
        <v>791</v>
      </c>
      <c r="O295" s="444"/>
    </row>
    <row r="296" spans="1:15" ht="12.75">
      <c r="A296" s="478"/>
      <c r="B296" s="477"/>
      <c r="C296" s="1621" t="s">
        <v>792</v>
      </c>
      <c r="D296" s="1589"/>
      <c r="E296" s="476">
        <v>0.45</v>
      </c>
      <c r="F296" s="475"/>
      <c r="G296" s="230"/>
      <c r="H296" s="474"/>
      <c r="I296" s="473"/>
      <c r="J296" s="569"/>
      <c r="K296" s="572"/>
      <c r="L296" s="436"/>
      <c r="M296" s="472" t="s">
        <v>792</v>
      </c>
      <c r="O296" s="444"/>
    </row>
    <row r="297" spans="1:15" ht="12.75">
      <c r="A297" s="478"/>
      <c r="B297" s="477"/>
      <c r="C297" s="1621" t="s">
        <v>793</v>
      </c>
      <c r="D297" s="1589"/>
      <c r="E297" s="476">
        <v>0.312</v>
      </c>
      <c r="F297" s="475"/>
      <c r="G297" s="230"/>
      <c r="H297" s="474"/>
      <c r="I297" s="473"/>
      <c r="J297" s="569"/>
      <c r="K297" s="572"/>
      <c r="L297" s="436"/>
      <c r="M297" s="472" t="s">
        <v>793</v>
      </c>
      <c r="O297" s="444"/>
    </row>
    <row r="298" spans="1:80" ht="12.75">
      <c r="A298" s="461">
        <v>93</v>
      </c>
      <c r="B298" s="460" t="s">
        <v>794</v>
      </c>
      <c r="C298" s="459" t="s">
        <v>795</v>
      </c>
      <c r="D298" s="458" t="s">
        <v>145</v>
      </c>
      <c r="E298" s="457">
        <v>47.84</v>
      </c>
      <c r="F298" s="457"/>
      <c r="G298" s="456">
        <f>E298*F298</f>
        <v>0</v>
      </c>
      <c r="H298" s="455">
        <v>0.01093</v>
      </c>
      <c r="I298" s="454">
        <f>E298*H298</f>
        <v>0.5228912000000001</v>
      </c>
      <c r="J298" s="570">
        <v>0</v>
      </c>
      <c r="K298" s="571">
        <f>E298*J298</f>
        <v>0</v>
      </c>
      <c r="L298" s="436"/>
      <c r="O298" s="444">
        <v>2</v>
      </c>
      <c r="AA298" s="434">
        <v>1</v>
      </c>
      <c r="AB298" s="434">
        <v>0</v>
      </c>
      <c r="AC298" s="434">
        <v>0</v>
      </c>
      <c r="AZ298" s="434">
        <v>2</v>
      </c>
      <c r="BA298" s="434">
        <f>IF(AZ298=1,G298,0)</f>
        <v>0</v>
      </c>
      <c r="BB298" s="434">
        <f>IF(AZ298=2,G298,0)</f>
        <v>0</v>
      </c>
      <c r="BC298" s="434">
        <f>IF(AZ298=3,G298,0)</f>
        <v>0</v>
      </c>
      <c r="BD298" s="434">
        <f>IF(AZ298=4,G298,0)</f>
        <v>0</v>
      </c>
      <c r="BE298" s="434">
        <f>IF(AZ298=5,G298,0)</f>
        <v>0</v>
      </c>
      <c r="CA298" s="444">
        <v>1</v>
      </c>
      <c r="CB298" s="444">
        <v>0</v>
      </c>
    </row>
    <row r="299" spans="1:15" ht="12.75">
      <c r="A299" s="478"/>
      <c r="B299" s="477"/>
      <c r="C299" s="1621" t="s">
        <v>796</v>
      </c>
      <c r="D299" s="1589"/>
      <c r="E299" s="476">
        <v>47.84</v>
      </c>
      <c r="F299" s="475"/>
      <c r="G299" s="230"/>
      <c r="H299" s="474"/>
      <c r="I299" s="473"/>
      <c r="J299" s="569"/>
      <c r="K299" s="572"/>
      <c r="L299" s="436"/>
      <c r="M299" s="472" t="s">
        <v>796</v>
      </c>
      <c r="O299" s="444"/>
    </row>
    <row r="300" spans="1:80" ht="20.4">
      <c r="A300" s="461">
        <v>94</v>
      </c>
      <c r="B300" s="460" t="s">
        <v>797</v>
      </c>
      <c r="C300" s="459" t="s">
        <v>798</v>
      </c>
      <c r="D300" s="458" t="s">
        <v>231</v>
      </c>
      <c r="E300" s="457">
        <v>14.4</v>
      </c>
      <c r="F300" s="457"/>
      <c r="G300" s="456">
        <f>E300*F300</f>
        <v>0</v>
      </c>
      <c r="H300" s="455">
        <v>0.00754</v>
      </c>
      <c r="I300" s="454">
        <f>E300*H300</f>
        <v>0.108576</v>
      </c>
      <c r="J300" s="570">
        <v>0</v>
      </c>
      <c r="K300" s="571">
        <f>E300*J300</f>
        <v>0</v>
      </c>
      <c r="L300" s="436"/>
      <c r="O300" s="444">
        <v>2</v>
      </c>
      <c r="AA300" s="434">
        <v>1</v>
      </c>
      <c r="AB300" s="434">
        <v>7</v>
      </c>
      <c r="AC300" s="434">
        <v>7</v>
      </c>
      <c r="AZ300" s="434">
        <v>2</v>
      </c>
      <c r="BA300" s="434">
        <f>IF(AZ300=1,G300,0)</f>
        <v>0</v>
      </c>
      <c r="BB300" s="434">
        <f>IF(AZ300=2,G300,0)</f>
        <v>0</v>
      </c>
      <c r="BC300" s="434">
        <f>IF(AZ300=3,G300,0)</f>
        <v>0</v>
      </c>
      <c r="BD300" s="434">
        <f>IF(AZ300=4,G300,0)</f>
        <v>0</v>
      </c>
      <c r="BE300" s="434">
        <f>IF(AZ300=5,G300,0)</f>
        <v>0</v>
      </c>
      <c r="CA300" s="444">
        <v>1</v>
      </c>
      <c r="CB300" s="444">
        <v>7</v>
      </c>
    </row>
    <row r="301" spans="1:15" ht="12.75">
      <c r="A301" s="478"/>
      <c r="B301" s="477"/>
      <c r="C301" s="1621" t="s">
        <v>799</v>
      </c>
      <c r="D301" s="1589"/>
      <c r="E301" s="476">
        <v>14.4</v>
      </c>
      <c r="F301" s="475"/>
      <c r="G301" s="230"/>
      <c r="H301" s="474"/>
      <c r="I301" s="473"/>
      <c r="J301" s="569"/>
      <c r="K301" s="572"/>
      <c r="L301" s="436"/>
      <c r="M301" s="472" t="s">
        <v>799</v>
      </c>
      <c r="O301" s="444"/>
    </row>
    <row r="302" spans="1:80" ht="12.75">
      <c r="A302" s="461">
        <v>95</v>
      </c>
      <c r="B302" s="460" t="s">
        <v>800</v>
      </c>
      <c r="C302" s="459" t="s">
        <v>801</v>
      </c>
      <c r="D302" s="458" t="s">
        <v>231</v>
      </c>
      <c r="E302" s="457">
        <v>234.65</v>
      </c>
      <c r="F302" s="457"/>
      <c r="G302" s="456">
        <f>E302*F302</f>
        <v>0</v>
      </c>
      <c r="H302" s="455">
        <v>0.00255</v>
      </c>
      <c r="I302" s="454">
        <f>E302*H302</f>
        <v>0.5983575000000001</v>
      </c>
      <c r="J302" s="570">
        <v>0</v>
      </c>
      <c r="K302" s="571">
        <f>E302*J302</f>
        <v>0</v>
      </c>
      <c r="L302" s="436"/>
      <c r="O302" s="444">
        <v>2</v>
      </c>
      <c r="AA302" s="434">
        <v>1</v>
      </c>
      <c r="AB302" s="434">
        <v>7</v>
      </c>
      <c r="AC302" s="434">
        <v>7</v>
      </c>
      <c r="AZ302" s="434">
        <v>2</v>
      </c>
      <c r="BA302" s="434">
        <f>IF(AZ302=1,G302,0)</f>
        <v>0</v>
      </c>
      <c r="BB302" s="434">
        <f>IF(AZ302=2,G302,0)</f>
        <v>0</v>
      </c>
      <c r="BC302" s="434">
        <f>IF(AZ302=3,G302,0)</f>
        <v>0</v>
      </c>
      <c r="BD302" s="434">
        <f>IF(AZ302=4,G302,0)</f>
        <v>0</v>
      </c>
      <c r="BE302" s="434">
        <f>IF(AZ302=5,G302,0)</f>
        <v>0</v>
      </c>
      <c r="CA302" s="444">
        <v>1</v>
      </c>
      <c r="CB302" s="444">
        <v>7</v>
      </c>
    </row>
    <row r="303" spans="1:15" ht="12.75">
      <c r="A303" s="478"/>
      <c r="B303" s="477"/>
      <c r="C303" s="1621" t="s">
        <v>802</v>
      </c>
      <c r="D303" s="1589"/>
      <c r="E303" s="476">
        <v>122.4</v>
      </c>
      <c r="F303" s="475"/>
      <c r="G303" s="230"/>
      <c r="H303" s="474"/>
      <c r="I303" s="473"/>
      <c r="J303" s="569"/>
      <c r="K303" s="572"/>
      <c r="L303" s="436"/>
      <c r="M303" s="472" t="s">
        <v>802</v>
      </c>
      <c r="O303" s="444"/>
    </row>
    <row r="304" spans="1:15" ht="12.75">
      <c r="A304" s="478"/>
      <c r="B304" s="477"/>
      <c r="C304" s="1621" t="s">
        <v>803</v>
      </c>
      <c r="D304" s="1589"/>
      <c r="E304" s="476">
        <v>13.3</v>
      </c>
      <c r="F304" s="475"/>
      <c r="G304" s="230"/>
      <c r="H304" s="474"/>
      <c r="I304" s="473"/>
      <c r="J304" s="569"/>
      <c r="K304" s="572"/>
      <c r="L304" s="436"/>
      <c r="M304" s="472" t="s">
        <v>803</v>
      </c>
      <c r="O304" s="444"/>
    </row>
    <row r="305" spans="1:15" ht="12.75">
      <c r="A305" s="478"/>
      <c r="B305" s="477"/>
      <c r="C305" s="1621" t="s">
        <v>804</v>
      </c>
      <c r="D305" s="1589"/>
      <c r="E305" s="476">
        <v>66</v>
      </c>
      <c r="F305" s="475"/>
      <c r="G305" s="230"/>
      <c r="H305" s="474"/>
      <c r="I305" s="473"/>
      <c r="J305" s="569"/>
      <c r="K305" s="572"/>
      <c r="L305" s="436"/>
      <c r="M305" s="472" t="s">
        <v>804</v>
      </c>
      <c r="O305" s="444"/>
    </row>
    <row r="306" spans="1:15" ht="12.75">
      <c r="A306" s="478"/>
      <c r="B306" s="477"/>
      <c r="C306" s="1621" t="s">
        <v>805</v>
      </c>
      <c r="D306" s="1589"/>
      <c r="E306" s="476">
        <v>28.2</v>
      </c>
      <c r="F306" s="475"/>
      <c r="G306" s="230"/>
      <c r="H306" s="474"/>
      <c r="I306" s="473"/>
      <c r="J306" s="569"/>
      <c r="K306" s="572"/>
      <c r="L306" s="436"/>
      <c r="M306" s="472" t="s">
        <v>805</v>
      </c>
      <c r="O306" s="444"/>
    </row>
    <row r="307" spans="1:15" ht="12.75">
      <c r="A307" s="478"/>
      <c r="B307" s="477"/>
      <c r="C307" s="1621" t="s">
        <v>806</v>
      </c>
      <c r="D307" s="1589"/>
      <c r="E307" s="476">
        <v>4.75</v>
      </c>
      <c r="F307" s="475"/>
      <c r="G307" s="230"/>
      <c r="H307" s="474"/>
      <c r="I307" s="473"/>
      <c r="J307" s="569"/>
      <c r="K307" s="572"/>
      <c r="L307" s="436"/>
      <c r="M307" s="472" t="s">
        <v>806</v>
      </c>
      <c r="O307" s="444"/>
    </row>
    <row r="308" spans="1:80" ht="12.75">
      <c r="A308" s="461">
        <v>96</v>
      </c>
      <c r="B308" s="460" t="s">
        <v>807</v>
      </c>
      <c r="C308" s="459" t="s">
        <v>808</v>
      </c>
      <c r="D308" s="458" t="s">
        <v>231</v>
      </c>
      <c r="E308" s="457">
        <v>19</v>
      </c>
      <c r="F308" s="457"/>
      <c r="G308" s="456">
        <f>E308*F308</f>
        <v>0</v>
      </c>
      <c r="H308" s="455">
        <v>0.00255</v>
      </c>
      <c r="I308" s="454">
        <f>E308*H308</f>
        <v>0.04845000000000001</v>
      </c>
      <c r="J308" s="570">
        <v>0</v>
      </c>
      <c r="K308" s="571">
        <f>E308*J308</f>
        <v>0</v>
      </c>
      <c r="L308" s="436"/>
      <c r="O308" s="444">
        <v>2</v>
      </c>
      <c r="AA308" s="434">
        <v>1</v>
      </c>
      <c r="AB308" s="434">
        <v>7</v>
      </c>
      <c r="AC308" s="434">
        <v>7</v>
      </c>
      <c r="AZ308" s="434">
        <v>2</v>
      </c>
      <c r="BA308" s="434">
        <f>IF(AZ308=1,G308,0)</f>
        <v>0</v>
      </c>
      <c r="BB308" s="434">
        <f>IF(AZ308=2,G308,0)</f>
        <v>0</v>
      </c>
      <c r="BC308" s="434">
        <f>IF(AZ308=3,G308,0)</f>
        <v>0</v>
      </c>
      <c r="BD308" s="434">
        <f>IF(AZ308=4,G308,0)</f>
        <v>0</v>
      </c>
      <c r="BE308" s="434">
        <f>IF(AZ308=5,G308,0)</f>
        <v>0</v>
      </c>
      <c r="CA308" s="444">
        <v>1</v>
      </c>
      <c r="CB308" s="444">
        <v>7</v>
      </c>
    </row>
    <row r="309" spans="1:15" ht="12.75">
      <c r="A309" s="478"/>
      <c r="B309" s="477"/>
      <c r="C309" s="1621" t="s">
        <v>809</v>
      </c>
      <c r="D309" s="1589"/>
      <c r="E309" s="476">
        <v>19</v>
      </c>
      <c r="F309" s="475"/>
      <c r="G309" s="230"/>
      <c r="H309" s="474"/>
      <c r="I309" s="473"/>
      <c r="J309" s="569"/>
      <c r="K309" s="572"/>
      <c r="L309" s="436"/>
      <c r="M309" s="472" t="s">
        <v>809</v>
      </c>
      <c r="O309" s="444"/>
    </row>
    <row r="310" spans="1:80" ht="20.4">
      <c r="A310" s="461">
        <v>97</v>
      </c>
      <c r="B310" s="460" t="s">
        <v>810</v>
      </c>
      <c r="C310" s="459" t="s">
        <v>811</v>
      </c>
      <c r="D310" s="458" t="s">
        <v>145</v>
      </c>
      <c r="E310" s="457">
        <v>13</v>
      </c>
      <c r="F310" s="457"/>
      <c r="G310" s="456">
        <f>E310*F310</f>
        <v>0</v>
      </c>
      <c r="H310" s="455">
        <v>0.01426</v>
      </c>
      <c r="I310" s="454">
        <f>E310*H310</f>
        <v>0.18538</v>
      </c>
      <c r="J310" s="570">
        <v>0</v>
      </c>
      <c r="K310" s="571">
        <f>E310*J310</f>
        <v>0</v>
      </c>
      <c r="L310" s="436"/>
      <c r="O310" s="444">
        <v>2</v>
      </c>
      <c r="AA310" s="434">
        <v>1</v>
      </c>
      <c r="AB310" s="434">
        <v>7</v>
      </c>
      <c r="AC310" s="434">
        <v>7</v>
      </c>
      <c r="AZ310" s="434">
        <v>2</v>
      </c>
      <c r="BA310" s="434">
        <f>IF(AZ310=1,G310,0)</f>
        <v>0</v>
      </c>
      <c r="BB310" s="434">
        <f>IF(AZ310=2,G310,0)</f>
        <v>0</v>
      </c>
      <c r="BC310" s="434">
        <f>IF(AZ310=3,G310,0)</f>
        <v>0</v>
      </c>
      <c r="BD310" s="434">
        <f>IF(AZ310=4,G310,0)</f>
        <v>0</v>
      </c>
      <c r="BE310" s="434">
        <f>IF(AZ310=5,G310,0)</f>
        <v>0</v>
      </c>
      <c r="CA310" s="444">
        <v>1</v>
      </c>
      <c r="CB310" s="444">
        <v>7</v>
      </c>
    </row>
    <row r="311" spans="1:15" ht="12.75">
      <c r="A311" s="478"/>
      <c r="B311" s="477"/>
      <c r="C311" s="1621" t="s">
        <v>812</v>
      </c>
      <c r="D311" s="1589"/>
      <c r="E311" s="476">
        <v>13</v>
      </c>
      <c r="F311" s="475"/>
      <c r="G311" s="230"/>
      <c r="H311" s="474"/>
      <c r="I311" s="473"/>
      <c r="J311" s="569"/>
      <c r="K311" s="572"/>
      <c r="L311" s="436"/>
      <c r="M311" s="472" t="s">
        <v>812</v>
      </c>
      <c r="O311" s="444"/>
    </row>
    <row r="312" spans="1:80" ht="12.75">
      <c r="A312" s="461">
        <v>98</v>
      </c>
      <c r="B312" s="460" t="s">
        <v>813</v>
      </c>
      <c r="C312" s="459" t="s">
        <v>814</v>
      </c>
      <c r="D312" s="458" t="s">
        <v>154</v>
      </c>
      <c r="E312" s="457">
        <v>4.733</v>
      </c>
      <c r="F312" s="457"/>
      <c r="G312" s="456">
        <f>E312*F312</f>
        <v>0</v>
      </c>
      <c r="H312" s="455">
        <v>0.0165</v>
      </c>
      <c r="I312" s="454">
        <f>E312*H312</f>
        <v>0.0780945</v>
      </c>
      <c r="J312" s="570">
        <v>0</v>
      </c>
      <c r="K312" s="571">
        <f>E312*J312</f>
        <v>0</v>
      </c>
      <c r="L312" s="436"/>
      <c r="O312" s="444">
        <v>2</v>
      </c>
      <c r="AA312" s="434">
        <v>1</v>
      </c>
      <c r="AB312" s="434">
        <v>7</v>
      </c>
      <c r="AC312" s="434">
        <v>7</v>
      </c>
      <c r="AZ312" s="434">
        <v>2</v>
      </c>
      <c r="BA312" s="434">
        <f>IF(AZ312=1,G312,0)</f>
        <v>0</v>
      </c>
      <c r="BB312" s="434">
        <f>IF(AZ312=2,G312,0)</f>
        <v>0</v>
      </c>
      <c r="BC312" s="434">
        <f>IF(AZ312=3,G312,0)</f>
        <v>0</v>
      </c>
      <c r="BD312" s="434">
        <f>IF(AZ312=4,G312,0)</f>
        <v>0</v>
      </c>
      <c r="BE312" s="434">
        <f>IF(AZ312=5,G312,0)</f>
        <v>0</v>
      </c>
      <c r="CA312" s="444">
        <v>1</v>
      </c>
      <c r="CB312" s="444">
        <v>7</v>
      </c>
    </row>
    <row r="313" spans="1:15" ht="12.75">
      <c r="A313" s="478"/>
      <c r="B313" s="477"/>
      <c r="C313" s="1621" t="s">
        <v>815</v>
      </c>
      <c r="D313" s="1589"/>
      <c r="E313" s="476">
        <v>3.971</v>
      </c>
      <c r="F313" s="475"/>
      <c r="G313" s="230"/>
      <c r="H313" s="474"/>
      <c r="I313" s="473"/>
      <c r="J313" s="569"/>
      <c r="K313" s="572"/>
      <c r="L313" s="436"/>
      <c r="M313" s="472" t="s">
        <v>815</v>
      </c>
      <c r="O313" s="444"/>
    </row>
    <row r="314" spans="1:15" ht="12.75">
      <c r="A314" s="478"/>
      <c r="B314" s="477"/>
      <c r="C314" s="1621" t="s">
        <v>816</v>
      </c>
      <c r="D314" s="1589"/>
      <c r="E314" s="476">
        <v>0.45</v>
      </c>
      <c r="F314" s="475"/>
      <c r="G314" s="230"/>
      <c r="H314" s="474"/>
      <c r="I314" s="473"/>
      <c r="J314" s="569"/>
      <c r="K314" s="572"/>
      <c r="L314" s="436"/>
      <c r="M314" s="472" t="s">
        <v>816</v>
      </c>
      <c r="O314" s="444"/>
    </row>
    <row r="315" spans="1:15" ht="12.75">
      <c r="A315" s="478"/>
      <c r="B315" s="477"/>
      <c r="C315" s="1621" t="s">
        <v>817</v>
      </c>
      <c r="D315" s="1589"/>
      <c r="E315" s="476">
        <v>0.312</v>
      </c>
      <c r="F315" s="475"/>
      <c r="G315" s="230"/>
      <c r="H315" s="474"/>
      <c r="I315" s="473"/>
      <c r="J315" s="569"/>
      <c r="K315" s="572"/>
      <c r="L315" s="436"/>
      <c r="M315" s="472" t="s">
        <v>817</v>
      </c>
      <c r="O315" s="444"/>
    </row>
    <row r="316" spans="1:80" ht="12.75">
      <c r="A316" s="461">
        <v>99</v>
      </c>
      <c r="B316" s="460" t="s">
        <v>818</v>
      </c>
      <c r="C316" s="459" t="s">
        <v>819</v>
      </c>
      <c r="D316" s="458" t="s">
        <v>154</v>
      </c>
      <c r="E316" s="457">
        <v>3.8469</v>
      </c>
      <c r="F316" s="457"/>
      <c r="G316" s="456">
        <f>E316*F316</f>
        <v>0</v>
      </c>
      <c r="H316" s="455">
        <v>0.55</v>
      </c>
      <c r="I316" s="454">
        <f>E316*H316</f>
        <v>2.1157950000000003</v>
      </c>
      <c r="J316" s="570"/>
      <c r="K316" s="571">
        <f>E316*J316</f>
        <v>0</v>
      </c>
      <c r="L316" s="436"/>
      <c r="O316" s="444">
        <v>2</v>
      </c>
      <c r="AA316" s="434">
        <v>3</v>
      </c>
      <c r="AB316" s="434">
        <v>7</v>
      </c>
      <c r="AC316" s="434">
        <v>60515510</v>
      </c>
      <c r="AZ316" s="434">
        <v>2</v>
      </c>
      <c r="BA316" s="434">
        <f>IF(AZ316=1,G316,0)</f>
        <v>0</v>
      </c>
      <c r="BB316" s="434">
        <f>IF(AZ316=2,G316,0)</f>
        <v>0</v>
      </c>
      <c r="BC316" s="434">
        <f>IF(AZ316=3,G316,0)</f>
        <v>0</v>
      </c>
      <c r="BD316" s="434">
        <f>IF(AZ316=4,G316,0)</f>
        <v>0</v>
      </c>
      <c r="BE316" s="434">
        <f>IF(AZ316=5,G316,0)</f>
        <v>0</v>
      </c>
      <c r="CA316" s="444">
        <v>3</v>
      </c>
      <c r="CB316" s="444">
        <v>7</v>
      </c>
    </row>
    <row r="317" spans="1:15" ht="12.75">
      <c r="A317" s="478"/>
      <c r="B317" s="477"/>
      <c r="C317" s="1628" t="s">
        <v>197</v>
      </c>
      <c r="D317" s="1589"/>
      <c r="E317" s="577">
        <v>0</v>
      </c>
      <c r="F317" s="475"/>
      <c r="G317" s="230"/>
      <c r="H317" s="474"/>
      <c r="I317" s="473"/>
      <c r="J317" s="569"/>
      <c r="K317" s="572"/>
      <c r="L317" s="436"/>
      <c r="M317" s="472" t="s">
        <v>197</v>
      </c>
      <c r="O317" s="444"/>
    </row>
    <row r="318" spans="1:15" ht="12.75">
      <c r="A318" s="478"/>
      <c r="B318" s="477"/>
      <c r="C318" s="1628" t="s">
        <v>820</v>
      </c>
      <c r="D318" s="1589"/>
      <c r="E318" s="577">
        <v>0.378</v>
      </c>
      <c r="F318" s="475"/>
      <c r="G318" s="230"/>
      <c r="H318" s="474"/>
      <c r="I318" s="473"/>
      <c r="J318" s="569"/>
      <c r="K318" s="572"/>
      <c r="L318" s="436"/>
      <c r="M318" s="472" t="s">
        <v>820</v>
      </c>
      <c r="O318" s="444"/>
    </row>
    <row r="319" spans="1:15" ht="12.75">
      <c r="A319" s="478"/>
      <c r="B319" s="477"/>
      <c r="C319" s="1628" t="s">
        <v>821</v>
      </c>
      <c r="D319" s="1589"/>
      <c r="E319" s="577">
        <v>1.7136</v>
      </c>
      <c r="F319" s="475"/>
      <c r="G319" s="230"/>
      <c r="H319" s="474"/>
      <c r="I319" s="473"/>
      <c r="J319" s="569"/>
      <c r="K319" s="572"/>
      <c r="L319" s="436"/>
      <c r="M319" s="472" t="s">
        <v>821</v>
      </c>
      <c r="O319" s="444"/>
    </row>
    <row r="320" spans="1:15" ht="12.75">
      <c r="A320" s="478"/>
      <c r="B320" s="477"/>
      <c r="C320" s="1628" t="s">
        <v>822</v>
      </c>
      <c r="D320" s="1589"/>
      <c r="E320" s="577">
        <v>0.2979</v>
      </c>
      <c r="F320" s="475"/>
      <c r="G320" s="230"/>
      <c r="H320" s="474"/>
      <c r="I320" s="473"/>
      <c r="J320" s="569"/>
      <c r="K320" s="572"/>
      <c r="L320" s="436"/>
      <c r="M320" s="472" t="s">
        <v>822</v>
      </c>
      <c r="O320" s="444"/>
    </row>
    <row r="321" spans="1:15" ht="12.75">
      <c r="A321" s="478"/>
      <c r="B321" s="477"/>
      <c r="C321" s="1628" t="s">
        <v>823</v>
      </c>
      <c r="D321" s="1589"/>
      <c r="E321" s="577">
        <v>1.2058</v>
      </c>
      <c r="F321" s="475"/>
      <c r="G321" s="230"/>
      <c r="H321" s="474"/>
      <c r="I321" s="473"/>
      <c r="J321" s="569"/>
      <c r="K321" s="572"/>
      <c r="L321" s="436"/>
      <c r="M321" s="472" t="s">
        <v>823</v>
      </c>
      <c r="O321" s="444"/>
    </row>
    <row r="322" spans="1:15" ht="12.75">
      <c r="A322" s="478"/>
      <c r="B322" s="477"/>
      <c r="C322" s="1628" t="s">
        <v>824</v>
      </c>
      <c r="D322" s="1589"/>
      <c r="E322" s="577">
        <v>0.0684</v>
      </c>
      <c r="F322" s="475"/>
      <c r="G322" s="230"/>
      <c r="H322" s="474"/>
      <c r="I322" s="473"/>
      <c r="J322" s="569"/>
      <c r="K322" s="572"/>
      <c r="L322" s="436"/>
      <c r="M322" s="472" t="s">
        <v>824</v>
      </c>
      <c r="O322" s="444"/>
    </row>
    <row r="323" spans="1:15" ht="12.75">
      <c r="A323" s="478"/>
      <c r="B323" s="477"/>
      <c r="C323" s="1628" t="s">
        <v>199</v>
      </c>
      <c r="D323" s="1589"/>
      <c r="E323" s="577">
        <v>3.6637</v>
      </c>
      <c r="F323" s="475"/>
      <c r="G323" s="230"/>
      <c r="H323" s="474"/>
      <c r="I323" s="473"/>
      <c r="J323" s="569"/>
      <c r="K323" s="572"/>
      <c r="L323" s="436"/>
      <c r="M323" s="472" t="s">
        <v>199</v>
      </c>
      <c r="O323" s="444"/>
    </row>
    <row r="324" spans="1:15" ht="12.75">
      <c r="A324" s="478"/>
      <c r="B324" s="477"/>
      <c r="C324" s="1621" t="s">
        <v>825</v>
      </c>
      <c r="D324" s="1589"/>
      <c r="E324" s="476">
        <v>3.8469</v>
      </c>
      <c r="F324" s="475"/>
      <c r="G324" s="230"/>
      <c r="H324" s="474"/>
      <c r="I324" s="473"/>
      <c r="J324" s="569"/>
      <c r="K324" s="572"/>
      <c r="L324" s="436"/>
      <c r="M324" s="472" t="s">
        <v>825</v>
      </c>
      <c r="O324" s="444"/>
    </row>
    <row r="325" spans="1:80" ht="12.75">
      <c r="A325" s="461">
        <v>100</v>
      </c>
      <c r="B325" s="460" t="s">
        <v>244</v>
      </c>
      <c r="C325" s="459" t="s">
        <v>245</v>
      </c>
      <c r="D325" s="458" t="s">
        <v>9</v>
      </c>
      <c r="E325" s="457">
        <v>1269.23658336</v>
      </c>
      <c r="F325" s="457"/>
      <c r="G325" s="456">
        <f>E325*F325</f>
        <v>0</v>
      </c>
      <c r="H325" s="455">
        <v>0</v>
      </c>
      <c r="I325" s="454">
        <f>E325*H325</f>
        <v>0</v>
      </c>
      <c r="J325" s="570"/>
      <c r="K325" s="571">
        <f>E325*J325</f>
        <v>0</v>
      </c>
      <c r="L325" s="436"/>
      <c r="O325" s="444">
        <v>2</v>
      </c>
      <c r="AA325" s="434">
        <v>7</v>
      </c>
      <c r="AB325" s="434">
        <v>1002</v>
      </c>
      <c r="AC325" s="434">
        <v>5</v>
      </c>
      <c r="AZ325" s="434">
        <v>2</v>
      </c>
      <c r="BA325" s="434">
        <f>IF(AZ325=1,G325,0)</f>
        <v>0</v>
      </c>
      <c r="BB325" s="434">
        <f>IF(AZ325=2,G325,0)</f>
        <v>0</v>
      </c>
      <c r="BC325" s="434">
        <f>IF(AZ325=3,G325,0)</f>
        <v>0</v>
      </c>
      <c r="BD325" s="434">
        <f>IF(AZ325=4,G325,0)</f>
        <v>0</v>
      </c>
      <c r="BE325" s="434">
        <f>IF(AZ325=5,G325,0)</f>
        <v>0</v>
      </c>
      <c r="CA325" s="444">
        <v>7</v>
      </c>
      <c r="CB325" s="444">
        <v>1002</v>
      </c>
    </row>
    <row r="326" spans="1:57" ht="12.75">
      <c r="A326" s="453"/>
      <c r="B326" s="452" t="s">
        <v>175</v>
      </c>
      <c r="C326" s="451" t="s">
        <v>246</v>
      </c>
      <c r="D326" s="450"/>
      <c r="E326" s="449"/>
      <c r="F326" s="448"/>
      <c r="G326" s="447">
        <f>SUM(G277:G325)</f>
        <v>0</v>
      </c>
      <c r="H326" s="446"/>
      <c r="I326" s="445">
        <f>SUM(I277:I325)</f>
        <v>6.137573852</v>
      </c>
      <c r="J326" s="568"/>
      <c r="K326" s="576">
        <f>SUM(K277:K325)</f>
        <v>0</v>
      </c>
      <c r="L326" s="436"/>
      <c r="O326" s="444">
        <v>4</v>
      </c>
      <c r="BA326" s="443">
        <f>SUM(BA277:BA325)</f>
        <v>0</v>
      </c>
      <c r="BB326" s="443">
        <f>SUM(BB277:BB325)</f>
        <v>0</v>
      </c>
      <c r="BC326" s="443">
        <f>SUM(BC277:BC325)</f>
        <v>0</v>
      </c>
      <c r="BD326" s="443">
        <f>SUM(BD277:BD325)</f>
        <v>0</v>
      </c>
      <c r="BE326" s="443">
        <f>SUM(BE277:BE325)</f>
        <v>0</v>
      </c>
    </row>
    <row r="327" spans="1:15" ht="12.75">
      <c r="A327" s="471" t="s">
        <v>140</v>
      </c>
      <c r="B327" s="470" t="s">
        <v>826</v>
      </c>
      <c r="C327" s="469" t="s">
        <v>827</v>
      </c>
      <c r="D327" s="468"/>
      <c r="E327" s="467"/>
      <c r="F327" s="467"/>
      <c r="G327" s="466"/>
      <c r="H327" s="465"/>
      <c r="I327" s="464"/>
      <c r="J327" s="568"/>
      <c r="K327" s="569"/>
      <c r="L327" s="436"/>
      <c r="O327" s="444">
        <v>1</v>
      </c>
    </row>
    <row r="328" spans="1:80" ht="12.75">
      <c r="A328" s="461">
        <v>101</v>
      </c>
      <c r="B328" s="460" t="s">
        <v>828</v>
      </c>
      <c r="C328" s="459" t="s">
        <v>829</v>
      </c>
      <c r="D328" s="458" t="s">
        <v>196</v>
      </c>
      <c r="E328" s="457">
        <v>1</v>
      </c>
      <c r="F328" s="457"/>
      <c r="G328" s="456">
        <f>E328*F328</f>
        <v>0</v>
      </c>
      <c r="H328" s="455">
        <v>0.00113</v>
      </c>
      <c r="I328" s="454">
        <f>E328*H328</f>
        <v>0.00113</v>
      </c>
      <c r="J328" s="570"/>
      <c r="K328" s="571"/>
      <c r="L328" s="436"/>
      <c r="O328" s="444">
        <v>2</v>
      </c>
      <c r="AA328" s="434">
        <v>1</v>
      </c>
      <c r="AB328" s="434">
        <v>7</v>
      </c>
      <c r="AC328" s="434">
        <v>7</v>
      </c>
      <c r="AZ328" s="434">
        <v>2</v>
      </c>
      <c r="BA328" s="434">
        <f>IF(AZ328=1,G328,0)</f>
        <v>0</v>
      </c>
      <c r="BB328" s="434">
        <f>IF(AZ328=2,G328,0)</f>
        <v>0</v>
      </c>
      <c r="BC328" s="434">
        <f>IF(AZ328=3,G328,0)</f>
        <v>0</v>
      </c>
      <c r="BD328" s="434">
        <f>IF(AZ328=4,G328,0)</f>
        <v>0</v>
      </c>
      <c r="BE328" s="434">
        <f>IF(AZ328=5,G328,0)</f>
        <v>0</v>
      </c>
      <c r="CA328" s="444">
        <v>1</v>
      </c>
      <c r="CB328" s="444">
        <v>7</v>
      </c>
    </row>
    <row r="329" spans="1:15" ht="12.75">
      <c r="A329" s="478"/>
      <c r="B329" s="477"/>
      <c r="C329" s="1621" t="s">
        <v>830</v>
      </c>
      <c r="D329" s="1589"/>
      <c r="E329" s="476">
        <v>1</v>
      </c>
      <c r="F329" s="475"/>
      <c r="G329" s="230"/>
      <c r="H329" s="474"/>
      <c r="I329" s="473"/>
      <c r="J329" s="569"/>
      <c r="K329" s="572"/>
      <c r="L329" s="436"/>
      <c r="M329" s="472" t="s">
        <v>830</v>
      </c>
      <c r="O329" s="444"/>
    </row>
    <row r="330" spans="1:80" ht="12.75">
      <c r="A330" s="461">
        <v>102</v>
      </c>
      <c r="B330" s="460" t="s">
        <v>831</v>
      </c>
      <c r="C330" s="459" t="s">
        <v>832</v>
      </c>
      <c r="D330" s="458" t="s">
        <v>9</v>
      </c>
      <c r="E330" s="457"/>
      <c r="F330" s="457"/>
      <c r="G330" s="456">
        <f>E330*F330</f>
        <v>0</v>
      </c>
      <c r="H330" s="455">
        <v>0</v>
      </c>
      <c r="I330" s="454">
        <f>E330*H330</f>
        <v>0</v>
      </c>
      <c r="J330" s="570"/>
      <c r="K330" s="571">
        <f>E330*J330</f>
        <v>0</v>
      </c>
      <c r="L330" s="436"/>
      <c r="O330" s="444">
        <v>2</v>
      </c>
      <c r="AA330" s="434">
        <v>7</v>
      </c>
      <c r="AB330" s="434">
        <v>1002</v>
      </c>
      <c r="AC330" s="434">
        <v>5</v>
      </c>
      <c r="AZ330" s="434">
        <v>2</v>
      </c>
      <c r="BA330" s="434">
        <f>IF(AZ330=1,G330,0)</f>
        <v>0</v>
      </c>
      <c r="BB330" s="434">
        <f>IF(AZ330=2,G330,0)</f>
        <v>0</v>
      </c>
      <c r="BC330" s="434">
        <f>IF(AZ330=3,G330,0)</f>
        <v>0</v>
      </c>
      <c r="BD330" s="434">
        <f>IF(AZ330=4,G330,0)</f>
        <v>0</v>
      </c>
      <c r="BE330" s="434">
        <f>IF(AZ330=5,G330,0)</f>
        <v>0</v>
      </c>
      <c r="CA330" s="444">
        <v>7</v>
      </c>
      <c r="CB330" s="444">
        <v>1002</v>
      </c>
    </row>
    <row r="331" spans="1:57" ht="12.75">
      <c r="A331" s="453"/>
      <c r="B331" s="452" t="s">
        <v>175</v>
      </c>
      <c r="C331" s="451" t="s">
        <v>833</v>
      </c>
      <c r="D331" s="450"/>
      <c r="E331" s="449"/>
      <c r="F331" s="448"/>
      <c r="G331" s="447">
        <f>SUM(G327:G330)</f>
        <v>0</v>
      </c>
      <c r="H331" s="446"/>
      <c r="I331" s="445">
        <f>SUM(I327:I330)</f>
        <v>0.00113</v>
      </c>
      <c r="J331" s="568"/>
      <c r="K331" s="576"/>
      <c r="L331" s="436"/>
      <c r="O331" s="444">
        <v>4</v>
      </c>
      <c r="BA331" s="443">
        <f>SUM(BA327:BA330)</f>
        <v>0</v>
      </c>
      <c r="BB331" s="443">
        <f>SUM(BB327:BB330)</f>
        <v>0</v>
      </c>
      <c r="BC331" s="443">
        <f>SUM(BC327:BC330)</f>
        <v>0</v>
      </c>
      <c r="BD331" s="443">
        <f>SUM(BD327:BD330)</f>
        <v>0</v>
      </c>
      <c r="BE331" s="443">
        <f>SUM(BE327:BE330)</f>
        <v>0</v>
      </c>
    </row>
    <row r="332" spans="1:15" ht="12.75">
      <c r="A332" s="471" t="s">
        <v>140</v>
      </c>
      <c r="B332" s="470" t="s">
        <v>247</v>
      </c>
      <c r="C332" s="469" t="s">
        <v>248</v>
      </c>
      <c r="D332" s="468"/>
      <c r="E332" s="467"/>
      <c r="F332" s="467"/>
      <c r="G332" s="466"/>
      <c r="H332" s="465"/>
      <c r="I332" s="464"/>
      <c r="J332" s="568"/>
      <c r="K332" s="569"/>
      <c r="L332" s="436"/>
      <c r="O332" s="444">
        <v>1</v>
      </c>
    </row>
    <row r="333" spans="1:80" ht="20.4">
      <c r="A333" s="461">
        <v>103</v>
      </c>
      <c r="B333" s="460" t="s">
        <v>834</v>
      </c>
      <c r="C333" s="459" t="s">
        <v>835</v>
      </c>
      <c r="D333" s="458" t="s">
        <v>145</v>
      </c>
      <c r="E333" s="457">
        <v>95.76</v>
      </c>
      <c r="F333" s="457"/>
      <c r="G333" s="456">
        <f>E333*F333</f>
        <v>0</v>
      </c>
      <c r="H333" s="455">
        <v>0.00676</v>
      </c>
      <c r="I333" s="454">
        <f>E333*H333</f>
        <v>0.6473376000000001</v>
      </c>
      <c r="J333" s="570">
        <v>0</v>
      </c>
      <c r="K333" s="571">
        <f>E333*J333</f>
        <v>0</v>
      </c>
      <c r="L333" s="436"/>
      <c r="O333" s="444">
        <v>2</v>
      </c>
      <c r="AA333" s="434">
        <v>1</v>
      </c>
      <c r="AB333" s="434">
        <v>0</v>
      </c>
      <c r="AC333" s="434">
        <v>0</v>
      </c>
      <c r="AZ333" s="434">
        <v>2</v>
      </c>
      <c r="BA333" s="434">
        <f>IF(AZ333=1,G333,0)</f>
        <v>0</v>
      </c>
      <c r="BB333" s="434">
        <f>IF(AZ333=2,G333,0)</f>
        <v>0</v>
      </c>
      <c r="BC333" s="434">
        <f>IF(AZ333=3,G333,0)</f>
        <v>0</v>
      </c>
      <c r="BD333" s="434">
        <f>IF(AZ333=4,G333,0)</f>
        <v>0</v>
      </c>
      <c r="BE333" s="434">
        <f>IF(AZ333=5,G333,0)</f>
        <v>0</v>
      </c>
      <c r="CA333" s="444">
        <v>1</v>
      </c>
      <c r="CB333" s="444">
        <v>0</v>
      </c>
    </row>
    <row r="334" spans="1:15" ht="12.75">
      <c r="A334" s="478"/>
      <c r="B334" s="477"/>
      <c r="C334" s="1621" t="s">
        <v>777</v>
      </c>
      <c r="D334" s="1589"/>
      <c r="E334" s="476">
        <v>95.76</v>
      </c>
      <c r="F334" s="475"/>
      <c r="G334" s="230"/>
      <c r="H334" s="474"/>
      <c r="I334" s="473"/>
      <c r="J334" s="569"/>
      <c r="K334" s="572"/>
      <c r="L334" s="436"/>
      <c r="M334" s="472" t="s">
        <v>777</v>
      </c>
      <c r="O334" s="444"/>
    </row>
    <row r="335" spans="1:80" ht="12.75">
      <c r="A335" s="461">
        <v>104</v>
      </c>
      <c r="B335" s="460" t="s">
        <v>836</v>
      </c>
      <c r="C335" s="459" t="s">
        <v>837</v>
      </c>
      <c r="D335" s="458" t="s">
        <v>196</v>
      </c>
      <c r="E335" s="457">
        <v>12</v>
      </c>
      <c r="F335" s="457"/>
      <c r="G335" s="456">
        <f>E335*F335</f>
        <v>0</v>
      </c>
      <c r="H335" s="455">
        <v>0.0013</v>
      </c>
      <c r="I335" s="454">
        <f>E335*H335</f>
        <v>0.0156</v>
      </c>
      <c r="J335" s="570">
        <v>0</v>
      </c>
      <c r="K335" s="571">
        <f>E335*J335</f>
        <v>0</v>
      </c>
      <c r="L335" s="436"/>
      <c r="O335" s="444">
        <v>2</v>
      </c>
      <c r="AA335" s="434">
        <v>1</v>
      </c>
      <c r="AB335" s="434">
        <v>7</v>
      </c>
      <c r="AC335" s="434">
        <v>7</v>
      </c>
      <c r="AZ335" s="434">
        <v>2</v>
      </c>
      <c r="BA335" s="434">
        <f>IF(AZ335=1,G335,0)</f>
        <v>0</v>
      </c>
      <c r="BB335" s="434">
        <f>IF(AZ335=2,G335,0)</f>
        <v>0</v>
      </c>
      <c r="BC335" s="434">
        <f>IF(AZ335=3,G335,0)</f>
        <v>0</v>
      </c>
      <c r="BD335" s="434">
        <f>IF(AZ335=4,G335,0)</f>
        <v>0</v>
      </c>
      <c r="BE335" s="434">
        <f>IF(AZ335=5,G335,0)</f>
        <v>0</v>
      </c>
      <c r="CA335" s="444">
        <v>1</v>
      </c>
      <c r="CB335" s="444">
        <v>7</v>
      </c>
    </row>
    <row r="336" spans="1:15" ht="12.75">
      <c r="A336" s="478"/>
      <c r="B336" s="477"/>
      <c r="C336" s="1621" t="s">
        <v>838</v>
      </c>
      <c r="D336" s="1589"/>
      <c r="E336" s="476">
        <v>0</v>
      </c>
      <c r="F336" s="475"/>
      <c r="G336" s="230"/>
      <c r="H336" s="474"/>
      <c r="I336" s="473"/>
      <c r="J336" s="569"/>
      <c r="K336" s="572"/>
      <c r="L336" s="436"/>
      <c r="M336" s="472" t="s">
        <v>838</v>
      </c>
      <c r="O336" s="444"/>
    </row>
    <row r="337" spans="1:15" ht="12.75">
      <c r="A337" s="478"/>
      <c r="B337" s="477"/>
      <c r="C337" s="1621" t="s">
        <v>839</v>
      </c>
      <c r="D337" s="1589"/>
      <c r="E337" s="476">
        <v>8</v>
      </c>
      <c r="F337" s="475"/>
      <c r="G337" s="230"/>
      <c r="H337" s="474"/>
      <c r="I337" s="473"/>
      <c r="J337" s="569"/>
      <c r="K337" s="572"/>
      <c r="L337" s="436"/>
      <c r="M337" s="472" t="s">
        <v>839</v>
      </c>
      <c r="O337" s="444"/>
    </row>
    <row r="338" spans="1:15" ht="12.75">
      <c r="A338" s="478"/>
      <c r="B338" s="477"/>
      <c r="C338" s="1621" t="s">
        <v>840</v>
      </c>
      <c r="D338" s="1589"/>
      <c r="E338" s="476">
        <v>2</v>
      </c>
      <c r="F338" s="475"/>
      <c r="G338" s="230"/>
      <c r="H338" s="474"/>
      <c r="I338" s="473"/>
      <c r="J338" s="569"/>
      <c r="K338" s="572"/>
      <c r="L338" s="436"/>
      <c r="M338" s="472" t="s">
        <v>840</v>
      </c>
      <c r="O338" s="444"/>
    </row>
    <row r="339" spans="1:15" ht="12.75">
      <c r="A339" s="478"/>
      <c r="B339" s="477"/>
      <c r="C339" s="1621" t="s">
        <v>841</v>
      </c>
      <c r="D339" s="1589"/>
      <c r="E339" s="476">
        <v>2</v>
      </c>
      <c r="F339" s="475"/>
      <c r="G339" s="230"/>
      <c r="H339" s="474"/>
      <c r="I339" s="473"/>
      <c r="J339" s="569"/>
      <c r="K339" s="572"/>
      <c r="L339" s="436"/>
      <c r="M339" s="472" t="s">
        <v>841</v>
      </c>
      <c r="O339" s="444"/>
    </row>
    <row r="340" spans="1:80" ht="12.75">
      <c r="A340" s="461">
        <v>105</v>
      </c>
      <c r="B340" s="460" t="s">
        <v>842</v>
      </c>
      <c r="C340" s="459" t="s">
        <v>843</v>
      </c>
      <c r="D340" s="458" t="s">
        <v>231</v>
      </c>
      <c r="E340" s="457">
        <v>26.6</v>
      </c>
      <c r="F340" s="457"/>
      <c r="G340" s="456">
        <f>E340*F340</f>
        <v>0</v>
      </c>
      <c r="H340" s="455">
        <v>0.00191</v>
      </c>
      <c r="I340" s="454">
        <f>E340*H340</f>
        <v>0.050806000000000004</v>
      </c>
      <c r="J340" s="570">
        <v>0</v>
      </c>
      <c r="K340" s="571">
        <f>E340*J340</f>
        <v>0</v>
      </c>
      <c r="L340" s="436"/>
      <c r="O340" s="444">
        <v>2</v>
      </c>
      <c r="AA340" s="434">
        <v>1</v>
      </c>
      <c r="AB340" s="434">
        <v>7</v>
      </c>
      <c r="AC340" s="434">
        <v>7</v>
      </c>
      <c r="AZ340" s="434">
        <v>2</v>
      </c>
      <c r="BA340" s="434">
        <f>IF(AZ340=1,G340,0)</f>
        <v>0</v>
      </c>
      <c r="BB340" s="434">
        <f>IF(AZ340=2,G340,0)</f>
        <v>0</v>
      </c>
      <c r="BC340" s="434">
        <f>IF(AZ340=3,G340,0)</f>
        <v>0</v>
      </c>
      <c r="BD340" s="434">
        <f>IF(AZ340=4,G340,0)</f>
        <v>0</v>
      </c>
      <c r="BE340" s="434">
        <f>IF(AZ340=5,G340,0)</f>
        <v>0</v>
      </c>
      <c r="CA340" s="444">
        <v>1</v>
      </c>
      <c r="CB340" s="444">
        <v>7</v>
      </c>
    </row>
    <row r="341" spans="1:15" ht="12.75">
      <c r="A341" s="478"/>
      <c r="B341" s="477"/>
      <c r="C341" s="1621" t="s">
        <v>844</v>
      </c>
      <c r="D341" s="1589"/>
      <c r="E341" s="476">
        <v>26.6</v>
      </c>
      <c r="F341" s="475"/>
      <c r="G341" s="230"/>
      <c r="H341" s="474"/>
      <c r="I341" s="473"/>
      <c r="J341" s="569"/>
      <c r="K341" s="572"/>
      <c r="L341" s="436"/>
      <c r="M341" s="472" t="s">
        <v>844</v>
      </c>
      <c r="O341" s="444"/>
    </row>
    <row r="342" spans="1:80" ht="12.75">
      <c r="A342" s="461">
        <v>106</v>
      </c>
      <c r="B342" s="460" t="s">
        <v>845</v>
      </c>
      <c r="C342" s="459" t="s">
        <v>846</v>
      </c>
      <c r="D342" s="458" t="s">
        <v>196</v>
      </c>
      <c r="E342" s="457">
        <v>1</v>
      </c>
      <c r="F342" s="457"/>
      <c r="G342" s="456">
        <f>E342*F342</f>
        <v>0</v>
      </c>
      <c r="H342" s="455">
        <v>0.0227</v>
      </c>
      <c r="I342" s="454">
        <f>E342*H342</f>
        <v>0.0227</v>
      </c>
      <c r="J342" s="570">
        <v>0</v>
      </c>
      <c r="K342" s="571">
        <f>E342*J342</f>
        <v>0</v>
      </c>
      <c r="L342" s="436"/>
      <c r="O342" s="444">
        <v>2</v>
      </c>
      <c r="AA342" s="434">
        <v>1</v>
      </c>
      <c r="AB342" s="434">
        <v>7</v>
      </c>
      <c r="AC342" s="434">
        <v>7</v>
      </c>
      <c r="AZ342" s="434">
        <v>2</v>
      </c>
      <c r="BA342" s="434">
        <f>IF(AZ342=1,G342,0)</f>
        <v>0</v>
      </c>
      <c r="BB342" s="434">
        <f>IF(AZ342=2,G342,0)</f>
        <v>0</v>
      </c>
      <c r="BC342" s="434">
        <f>IF(AZ342=3,G342,0)</f>
        <v>0</v>
      </c>
      <c r="BD342" s="434">
        <f>IF(AZ342=4,G342,0)</f>
        <v>0</v>
      </c>
      <c r="BE342" s="434">
        <f>IF(AZ342=5,G342,0)</f>
        <v>0</v>
      </c>
      <c r="CA342" s="444">
        <v>1</v>
      </c>
      <c r="CB342" s="444">
        <v>7</v>
      </c>
    </row>
    <row r="343" spans="1:80" ht="12.75">
      <c r="A343" s="461">
        <v>107</v>
      </c>
      <c r="B343" s="460" t="s">
        <v>847</v>
      </c>
      <c r="C343" s="459" t="s">
        <v>848</v>
      </c>
      <c r="D343" s="458" t="s">
        <v>231</v>
      </c>
      <c r="E343" s="457">
        <v>13.3</v>
      </c>
      <c r="F343" s="457"/>
      <c r="G343" s="456">
        <f>E343*F343</f>
        <v>0</v>
      </c>
      <c r="H343" s="455">
        <v>0.00531</v>
      </c>
      <c r="I343" s="454">
        <f>E343*H343</f>
        <v>0.070623</v>
      </c>
      <c r="J343" s="570">
        <v>0</v>
      </c>
      <c r="K343" s="571">
        <f>E343*J343</f>
        <v>0</v>
      </c>
      <c r="L343" s="436"/>
      <c r="O343" s="444">
        <v>2</v>
      </c>
      <c r="AA343" s="434">
        <v>1</v>
      </c>
      <c r="AB343" s="434">
        <v>7</v>
      </c>
      <c r="AC343" s="434">
        <v>7</v>
      </c>
      <c r="AZ343" s="434">
        <v>2</v>
      </c>
      <c r="BA343" s="434">
        <f>IF(AZ343=1,G343,0)</f>
        <v>0</v>
      </c>
      <c r="BB343" s="434">
        <f>IF(AZ343=2,G343,0)</f>
        <v>0</v>
      </c>
      <c r="BC343" s="434">
        <f>IF(AZ343=3,G343,0)</f>
        <v>0</v>
      </c>
      <c r="BD343" s="434">
        <f>IF(AZ343=4,G343,0)</f>
        <v>0</v>
      </c>
      <c r="BE343" s="434">
        <f>IF(AZ343=5,G343,0)</f>
        <v>0</v>
      </c>
      <c r="CA343" s="444">
        <v>1</v>
      </c>
      <c r="CB343" s="444">
        <v>7</v>
      </c>
    </row>
    <row r="344" spans="1:80" ht="12.75">
      <c r="A344" s="461">
        <v>108</v>
      </c>
      <c r="B344" s="460" t="s">
        <v>849</v>
      </c>
      <c r="C344" s="459" t="s">
        <v>850</v>
      </c>
      <c r="D344" s="458" t="s">
        <v>231</v>
      </c>
      <c r="E344" s="457">
        <v>7.35</v>
      </c>
      <c r="F344" s="457"/>
      <c r="G344" s="456">
        <f>E344*F344</f>
        <v>0</v>
      </c>
      <c r="H344" s="455">
        <v>0.00254</v>
      </c>
      <c r="I344" s="454">
        <f>E344*H344</f>
        <v>0.018669</v>
      </c>
      <c r="J344" s="570">
        <v>0</v>
      </c>
      <c r="K344" s="571">
        <f>E344*J344</f>
        <v>0</v>
      </c>
      <c r="L344" s="436"/>
      <c r="O344" s="444">
        <v>2</v>
      </c>
      <c r="AA344" s="434">
        <v>1</v>
      </c>
      <c r="AB344" s="434">
        <v>7</v>
      </c>
      <c r="AC344" s="434">
        <v>7</v>
      </c>
      <c r="AZ344" s="434">
        <v>2</v>
      </c>
      <c r="BA344" s="434">
        <f>IF(AZ344=1,G344,0)</f>
        <v>0</v>
      </c>
      <c r="BB344" s="434">
        <f>IF(AZ344=2,G344,0)</f>
        <v>0</v>
      </c>
      <c r="BC344" s="434">
        <f>IF(AZ344=3,G344,0)</f>
        <v>0</v>
      </c>
      <c r="BD344" s="434">
        <f>IF(AZ344=4,G344,0)</f>
        <v>0</v>
      </c>
      <c r="BE344" s="434">
        <f>IF(AZ344=5,G344,0)</f>
        <v>0</v>
      </c>
      <c r="CA344" s="444">
        <v>1</v>
      </c>
      <c r="CB344" s="444">
        <v>7</v>
      </c>
    </row>
    <row r="345" spans="1:15" ht="12.75">
      <c r="A345" s="478"/>
      <c r="B345" s="477"/>
      <c r="C345" s="1621" t="s">
        <v>851</v>
      </c>
      <c r="D345" s="1589"/>
      <c r="E345" s="476">
        <v>5.35</v>
      </c>
      <c r="F345" s="475"/>
      <c r="G345" s="230"/>
      <c r="H345" s="474"/>
      <c r="I345" s="473"/>
      <c r="J345" s="569"/>
      <c r="K345" s="572"/>
      <c r="L345" s="436"/>
      <c r="M345" s="472" t="s">
        <v>851</v>
      </c>
      <c r="O345" s="444"/>
    </row>
    <row r="346" spans="1:15" ht="12.75">
      <c r="A346" s="478"/>
      <c r="B346" s="477"/>
      <c r="C346" s="1621" t="s">
        <v>852</v>
      </c>
      <c r="D346" s="1589"/>
      <c r="E346" s="476">
        <v>1</v>
      </c>
      <c r="F346" s="475"/>
      <c r="G346" s="230"/>
      <c r="H346" s="474"/>
      <c r="I346" s="473"/>
      <c r="J346" s="569"/>
      <c r="K346" s="572"/>
      <c r="L346" s="436"/>
      <c r="M346" s="472" t="s">
        <v>852</v>
      </c>
      <c r="O346" s="444"/>
    </row>
    <row r="347" spans="1:15" ht="12.75">
      <c r="A347" s="478"/>
      <c r="B347" s="477"/>
      <c r="C347" s="1621" t="s">
        <v>853</v>
      </c>
      <c r="D347" s="1589"/>
      <c r="E347" s="476">
        <v>1</v>
      </c>
      <c r="F347" s="475"/>
      <c r="G347" s="230"/>
      <c r="H347" s="474"/>
      <c r="I347" s="473"/>
      <c r="J347" s="569"/>
      <c r="K347" s="572"/>
      <c r="L347" s="436"/>
      <c r="M347" s="472" t="s">
        <v>853</v>
      </c>
      <c r="O347" s="444"/>
    </row>
    <row r="348" spans="1:80" ht="12.75">
      <c r="A348" s="461">
        <v>109</v>
      </c>
      <c r="B348" s="460" t="s">
        <v>854</v>
      </c>
      <c r="C348" s="459" t="s">
        <v>855</v>
      </c>
      <c r="D348" s="458" t="s">
        <v>231</v>
      </c>
      <c r="E348" s="457">
        <v>2</v>
      </c>
      <c r="F348" s="457"/>
      <c r="G348" s="456">
        <f>E348*F348</f>
        <v>0</v>
      </c>
      <c r="H348" s="455">
        <v>0.0026</v>
      </c>
      <c r="I348" s="454">
        <f>E348*H348</f>
        <v>0.0052</v>
      </c>
      <c r="J348" s="570">
        <v>0</v>
      </c>
      <c r="K348" s="571">
        <f>E348*J348</f>
        <v>0</v>
      </c>
      <c r="L348" s="436"/>
      <c r="O348" s="444">
        <v>2</v>
      </c>
      <c r="AA348" s="434">
        <v>1</v>
      </c>
      <c r="AB348" s="434">
        <v>7</v>
      </c>
      <c r="AC348" s="434">
        <v>7</v>
      </c>
      <c r="AZ348" s="434">
        <v>2</v>
      </c>
      <c r="BA348" s="434">
        <f>IF(AZ348=1,G348,0)</f>
        <v>0</v>
      </c>
      <c r="BB348" s="434">
        <f>IF(AZ348=2,G348,0)</f>
        <v>0</v>
      </c>
      <c r="BC348" s="434">
        <f>IF(AZ348=3,G348,0)</f>
        <v>0</v>
      </c>
      <c r="BD348" s="434">
        <f>IF(AZ348=4,G348,0)</f>
        <v>0</v>
      </c>
      <c r="BE348" s="434">
        <f>IF(AZ348=5,G348,0)</f>
        <v>0</v>
      </c>
      <c r="CA348" s="444">
        <v>1</v>
      </c>
      <c r="CB348" s="444">
        <v>7</v>
      </c>
    </row>
    <row r="349" spans="1:15" ht="12.75">
      <c r="A349" s="478"/>
      <c r="B349" s="477"/>
      <c r="C349" s="1621" t="s">
        <v>856</v>
      </c>
      <c r="D349" s="1589"/>
      <c r="E349" s="476">
        <v>2</v>
      </c>
      <c r="F349" s="475"/>
      <c r="G349" s="230"/>
      <c r="H349" s="474"/>
      <c r="I349" s="473"/>
      <c r="J349" s="569"/>
      <c r="K349" s="572"/>
      <c r="L349" s="436"/>
      <c r="M349" s="472" t="s">
        <v>856</v>
      </c>
      <c r="O349" s="444"/>
    </row>
    <row r="350" spans="1:80" ht="12.75">
      <c r="A350" s="461">
        <v>110</v>
      </c>
      <c r="B350" s="460" t="s">
        <v>252</v>
      </c>
      <c r="C350" s="459" t="s">
        <v>253</v>
      </c>
      <c r="D350" s="458" t="s">
        <v>9</v>
      </c>
      <c r="E350" s="457"/>
      <c r="F350" s="457"/>
      <c r="G350" s="456">
        <f>E350*F350</f>
        <v>0</v>
      </c>
      <c r="H350" s="455">
        <v>0</v>
      </c>
      <c r="I350" s="454">
        <f>E350*H350</f>
        <v>0</v>
      </c>
      <c r="J350" s="570"/>
      <c r="K350" s="571">
        <f>E350*J350</f>
        <v>0</v>
      </c>
      <c r="L350" s="436"/>
      <c r="O350" s="444">
        <v>2</v>
      </c>
      <c r="AA350" s="434">
        <v>7</v>
      </c>
      <c r="AB350" s="434">
        <v>1002</v>
      </c>
      <c r="AC350" s="434">
        <v>5</v>
      </c>
      <c r="AZ350" s="434">
        <v>2</v>
      </c>
      <c r="BA350" s="434">
        <f>IF(AZ350=1,G350,0)</f>
        <v>0</v>
      </c>
      <c r="BB350" s="434">
        <f>IF(AZ350=2,G350,0)</f>
        <v>0</v>
      </c>
      <c r="BC350" s="434">
        <f>IF(AZ350=3,G350,0)</f>
        <v>0</v>
      </c>
      <c r="BD350" s="434">
        <f>IF(AZ350=4,G350,0)</f>
        <v>0</v>
      </c>
      <c r="BE350" s="434">
        <f>IF(AZ350=5,G350,0)</f>
        <v>0</v>
      </c>
      <c r="CA350" s="444">
        <v>7</v>
      </c>
      <c r="CB350" s="444">
        <v>1002</v>
      </c>
    </row>
    <row r="351" spans="1:57" ht="12.75">
      <c r="A351" s="453"/>
      <c r="B351" s="452" t="s">
        <v>175</v>
      </c>
      <c r="C351" s="451" t="s">
        <v>254</v>
      </c>
      <c r="D351" s="450"/>
      <c r="E351" s="449"/>
      <c r="F351" s="448"/>
      <c r="G351" s="447">
        <f>SUM(G332:G350)</f>
        <v>0</v>
      </c>
      <c r="H351" s="446"/>
      <c r="I351" s="445">
        <f>SUM(I332:I350)</f>
        <v>0.8309356000000001</v>
      </c>
      <c r="J351" s="568"/>
      <c r="K351" s="576">
        <f>SUM(K332:K350)</f>
        <v>0</v>
      </c>
      <c r="L351" s="436"/>
      <c r="O351" s="444">
        <v>4</v>
      </c>
      <c r="BA351" s="443">
        <f>SUM(BA332:BA350)</f>
        <v>0</v>
      </c>
      <c r="BB351" s="443">
        <f>SUM(BB332:BB350)</f>
        <v>0</v>
      </c>
      <c r="BC351" s="443">
        <f>SUM(BC332:BC350)</f>
        <v>0</v>
      </c>
      <c r="BD351" s="443">
        <f>SUM(BD332:BD350)</f>
        <v>0</v>
      </c>
      <c r="BE351" s="443">
        <f>SUM(BE332:BE350)</f>
        <v>0</v>
      </c>
    </row>
    <row r="352" spans="1:15" ht="12.75">
      <c r="A352" s="471" t="s">
        <v>140</v>
      </c>
      <c r="B352" s="470" t="s">
        <v>857</v>
      </c>
      <c r="C352" s="469" t="s">
        <v>858</v>
      </c>
      <c r="D352" s="468"/>
      <c r="E352" s="467"/>
      <c r="F352" s="467"/>
      <c r="G352" s="466"/>
      <c r="H352" s="465"/>
      <c r="I352" s="464"/>
      <c r="J352" s="568"/>
      <c r="K352" s="569"/>
      <c r="L352" s="436"/>
      <c r="O352" s="444">
        <v>1</v>
      </c>
    </row>
    <row r="353" spans="1:80" ht="12.75">
      <c r="A353" s="461">
        <v>111</v>
      </c>
      <c r="B353" s="460" t="s">
        <v>859</v>
      </c>
      <c r="C353" s="459" t="s">
        <v>860</v>
      </c>
      <c r="D353" s="458" t="s">
        <v>145</v>
      </c>
      <c r="E353" s="457">
        <v>95.76</v>
      </c>
      <c r="F353" s="457"/>
      <c r="G353" s="456">
        <f>E353*F353</f>
        <v>0</v>
      </c>
      <c r="H353" s="455">
        <v>0.00042</v>
      </c>
      <c r="I353" s="454">
        <f>E353*H353</f>
        <v>0.040219200000000004</v>
      </c>
      <c r="J353" s="570">
        <v>0</v>
      </c>
      <c r="K353" s="571">
        <f>E353*J353</f>
        <v>0</v>
      </c>
      <c r="L353" s="436"/>
      <c r="O353" s="444">
        <v>2</v>
      </c>
      <c r="AA353" s="434">
        <v>1</v>
      </c>
      <c r="AB353" s="434">
        <v>7</v>
      </c>
      <c r="AC353" s="434">
        <v>7</v>
      </c>
      <c r="AZ353" s="434">
        <v>2</v>
      </c>
      <c r="BA353" s="434">
        <f>IF(AZ353=1,G353,0)</f>
        <v>0</v>
      </c>
      <c r="BB353" s="434">
        <f>IF(AZ353=2,G353,0)</f>
        <v>0</v>
      </c>
      <c r="BC353" s="434">
        <f>IF(AZ353=3,G353,0)</f>
        <v>0</v>
      </c>
      <c r="BD353" s="434">
        <f>IF(AZ353=4,G353,0)</f>
        <v>0</v>
      </c>
      <c r="BE353" s="434">
        <f>IF(AZ353=5,G353,0)</f>
        <v>0</v>
      </c>
      <c r="CA353" s="444">
        <v>1</v>
      </c>
      <c r="CB353" s="444">
        <v>7</v>
      </c>
    </row>
    <row r="354" spans="1:15" ht="12.75">
      <c r="A354" s="478"/>
      <c r="B354" s="477"/>
      <c r="C354" s="1621" t="s">
        <v>777</v>
      </c>
      <c r="D354" s="1589"/>
      <c r="E354" s="476">
        <v>95.76</v>
      </c>
      <c r="F354" s="475"/>
      <c r="G354" s="230"/>
      <c r="H354" s="474"/>
      <c r="I354" s="473"/>
      <c r="J354" s="569"/>
      <c r="K354" s="572"/>
      <c r="L354" s="436"/>
      <c r="M354" s="472" t="s">
        <v>777</v>
      </c>
      <c r="O354" s="444"/>
    </row>
    <row r="355" spans="1:80" ht="12.75">
      <c r="A355" s="461">
        <v>112</v>
      </c>
      <c r="B355" s="460" t="s">
        <v>861</v>
      </c>
      <c r="C355" s="459" t="s">
        <v>862</v>
      </c>
      <c r="D355" s="458" t="s">
        <v>9</v>
      </c>
      <c r="E355" s="457"/>
      <c r="F355" s="457"/>
      <c r="G355" s="456">
        <f>E355*F355</f>
        <v>0</v>
      </c>
      <c r="H355" s="455">
        <v>0</v>
      </c>
      <c r="I355" s="454">
        <f>E355*H355</f>
        <v>0</v>
      </c>
      <c r="J355" s="570"/>
      <c r="K355" s="571">
        <f>E355*J355</f>
        <v>0</v>
      </c>
      <c r="L355" s="436"/>
      <c r="O355" s="444">
        <v>2</v>
      </c>
      <c r="AA355" s="434">
        <v>7</v>
      </c>
      <c r="AB355" s="434">
        <v>1002</v>
      </c>
      <c r="AC355" s="434">
        <v>5</v>
      </c>
      <c r="AZ355" s="434">
        <v>2</v>
      </c>
      <c r="BA355" s="434">
        <f>IF(AZ355=1,G355,0)</f>
        <v>0</v>
      </c>
      <c r="BB355" s="434">
        <f>IF(AZ355=2,G355,0)</f>
        <v>0</v>
      </c>
      <c r="BC355" s="434">
        <f>IF(AZ355=3,G355,0)</f>
        <v>0</v>
      </c>
      <c r="BD355" s="434">
        <f>IF(AZ355=4,G355,0)</f>
        <v>0</v>
      </c>
      <c r="BE355" s="434">
        <f>IF(AZ355=5,G355,0)</f>
        <v>0</v>
      </c>
      <c r="CA355" s="444">
        <v>7</v>
      </c>
      <c r="CB355" s="444">
        <v>1002</v>
      </c>
    </row>
    <row r="356" spans="1:57" ht="12.75">
      <c r="A356" s="453"/>
      <c r="B356" s="452" t="s">
        <v>175</v>
      </c>
      <c r="C356" s="451" t="s">
        <v>863</v>
      </c>
      <c r="D356" s="450"/>
      <c r="E356" s="449"/>
      <c r="F356" s="448"/>
      <c r="G356" s="447">
        <f>SUM(G352:G355)</f>
        <v>0</v>
      </c>
      <c r="H356" s="446"/>
      <c r="I356" s="445">
        <f>SUM(I352:I355)</f>
        <v>0.040219200000000004</v>
      </c>
      <c r="J356" s="569"/>
      <c r="K356" s="576">
        <f>SUM(K352:K355)</f>
        <v>0</v>
      </c>
      <c r="L356" s="436"/>
      <c r="O356" s="444">
        <v>4</v>
      </c>
      <c r="BA356" s="443">
        <f>SUM(BA352:BA355)</f>
        <v>0</v>
      </c>
      <c r="BB356" s="443">
        <f>SUM(BB352:BB355)</f>
        <v>0</v>
      </c>
      <c r="BC356" s="443">
        <f>SUM(BC352:BC355)</f>
        <v>0</v>
      </c>
      <c r="BD356" s="443">
        <f>SUM(BD352:BD355)</f>
        <v>0</v>
      </c>
      <c r="BE356" s="443">
        <f>SUM(BE352:BE355)</f>
        <v>0</v>
      </c>
    </row>
    <row r="357" spans="1:15" ht="12.75">
      <c r="A357" s="471" t="s">
        <v>140</v>
      </c>
      <c r="B357" s="470" t="s">
        <v>864</v>
      </c>
      <c r="C357" s="469" t="s">
        <v>865</v>
      </c>
      <c r="D357" s="468"/>
      <c r="E357" s="467"/>
      <c r="F357" s="467"/>
      <c r="G357" s="466"/>
      <c r="H357" s="465"/>
      <c r="I357" s="464"/>
      <c r="J357" s="568"/>
      <c r="K357" s="569"/>
      <c r="L357" s="436"/>
      <c r="O357" s="444">
        <v>1</v>
      </c>
    </row>
    <row r="358" spans="1:80" ht="12.75">
      <c r="A358" s="461">
        <v>113</v>
      </c>
      <c r="B358" s="460" t="s">
        <v>866</v>
      </c>
      <c r="C358" s="459" t="s">
        <v>867</v>
      </c>
      <c r="D358" s="458" t="s">
        <v>145</v>
      </c>
      <c r="E358" s="457">
        <v>33.71</v>
      </c>
      <c r="F358" s="457"/>
      <c r="G358" s="456">
        <f>E358*F358</f>
        <v>0</v>
      </c>
      <c r="H358" s="455">
        <v>0.0002</v>
      </c>
      <c r="I358" s="454">
        <f>E358*H358</f>
        <v>0.006742000000000001</v>
      </c>
      <c r="J358" s="570">
        <v>0</v>
      </c>
      <c r="K358" s="571">
        <f>E358*J358</f>
        <v>0</v>
      </c>
      <c r="L358" s="436"/>
      <c r="O358" s="444">
        <v>2</v>
      </c>
      <c r="AA358" s="434">
        <v>1</v>
      </c>
      <c r="AB358" s="434">
        <v>7</v>
      </c>
      <c r="AC358" s="434">
        <v>7</v>
      </c>
      <c r="AZ358" s="434">
        <v>2</v>
      </c>
      <c r="BA358" s="434">
        <f>IF(AZ358=1,G358,0)</f>
        <v>0</v>
      </c>
      <c r="BB358" s="434">
        <f>IF(AZ358=2,G358,0)</f>
        <v>0</v>
      </c>
      <c r="BC358" s="434">
        <f>IF(AZ358=3,G358,0)</f>
        <v>0</v>
      </c>
      <c r="BD358" s="434">
        <f>IF(AZ358=4,G358,0)</f>
        <v>0</v>
      </c>
      <c r="BE358" s="434">
        <f>IF(AZ358=5,G358,0)</f>
        <v>0</v>
      </c>
      <c r="CA358" s="444">
        <v>1</v>
      </c>
      <c r="CB358" s="444">
        <v>7</v>
      </c>
    </row>
    <row r="359" spans="1:15" ht="12.75">
      <c r="A359" s="478"/>
      <c r="B359" s="477"/>
      <c r="C359" s="1628" t="s">
        <v>197</v>
      </c>
      <c r="D359" s="1589"/>
      <c r="E359" s="577">
        <v>0</v>
      </c>
      <c r="F359" s="475"/>
      <c r="G359" s="230"/>
      <c r="H359" s="474"/>
      <c r="I359" s="473"/>
      <c r="J359" s="569"/>
      <c r="K359" s="572"/>
      <c r="L359" s="436"/>
      <c r="M359" s="472" t="s">
        <v>197</v>
      </c>
      <c r="O359" s="444"/>
    </row>
    <row r="360" spans="1:15" ht="12.75">
      <c r="A360" s="478"/>
      <c r="B360" s="477"/>
      <c r="C360" s="1628" t="s">
        <v>868</v>
      </c>
      <c r="D360" s="1589"/>
      <c r="E360" s="577">
        <v>15.1</v>
      </c>
      <c r="F360" s="475"/>
      <c r="G360" s="230"/>
      <c r="H360" s="474"/>
      <c r="I360" s="473"/>
      <c r="J360" s="569"/>
      <c r="K360" s="572"/>
      <c r="L360" s="436"/>
      <c r="M360" s="472" t="s">
        <v>868</v>
      </c>
      <c r="O360" s="444"/>
    </row>
    <row r="361" spans="1:15" ht="12.75">
      <c r="A361" s="478"/>
      <c r="B361" s="477"/>
      <c r="C361" s="1628" t="s">
        <v>199</v>
      </c>
      <c r="D361" s="1589"/>
      <c r="E361" s="577">
        <v>15.1</v>
      </c>
      <c r="F361" s="475"/>
      <c r="G361" s="230"/>
      <c r="H361" s="474"/>
      <c r="I361" s="473"/>
      <c r="J361" s="569"/>
      <c r="K361" s="572"/>
      <c r="L361" s="436"/>
      <c r="M361" s="472" t="s">
        <v>199</v>
      </c>
      <c r="O361" s="444"/>
    </row>
    <row r="362" spans="1:15" ht="12.75">
      <c r="A362" s="478"/>
      <c r="B362" s="477"/>
      <c r="C362" s="1621" t="s">
        <v>869</v>
      </c>
      <c r="D362" s="1589"/>
      <c r="E362" s="476">
        <v>31.71</v>
      </c>
      <c r="F362" s="475"/>
      <c r="G362" s="230"/>
      <c r="H362" s="474"/>
      <c r="I362" s="473"/>
      <c r="J362" s="569"/>
      <c r="K362" s="572"/>
      <c r="L362" s="436"/>
      <c r="M362" s="472" t="s">
        <v>869</v>
      </c>
      <c r="O362" s="444"/>
    </row>
    <row r="363" spans="1:15" ht="12.75">
      <c r="A363" s="478"/>
      <c r="B363" s="477"/>
      <c r="C363" s="1621" t="s">
        <v>870</v>
      </c>
      <c r="D363" s="1589"/>
      <c r="E363" s="476">
        <v>2</v>
      </c>
      <c r="F363" s="475"/>
      <c r="G363" s="230"/>
      <c r="H363" s="474"/>
      <c r="I363" s="473"/>
      <c r="J363" s="569"/>
      <c r="K363" s="572"/>
      <c r="L363" s="436"/>
      <c r="M363" s="472" t="s">
        <v>870</v>
      </c>
      <c r="O363" s="444"/>
    </row>
    <row r="364" spans="1:80" ht="20.4">
      <c r="A364" s="461">
        <v>114</v>
      </c>
      <c r="B364" s="460" t="s">
        <v>871</v>
      </c>
      <c r="C364" s="459" t="s">
        <v>872</v>
      </c>
      <c r="D364" s="458" t="s">
        <v>231</v>
      </c>
      <c r="E364" s="457">
        <v>38.15</v>
      </c>
      <c r="F364" s="457"/>
      <c r="G364" s="456">
        <f>E364*F364</f>
        <v>0</v>
      </c>
      <c r="H364" s="455">
        <v>4E-05</v>
      </c>
      <c r="I364" s="454">
        <f>E364*H364</f>
        <v>0.001526</v>
      </c>
      <c r="J364" s="570">
        <v>0</v>
      </c>
      <c r="K364" s="571">
        <f>E364*J364</f>
        <v>0</v>
      </c>
      <c r="L364" s="436"/>
      <c r="O364" s="444">
        <v>2</v>
      </c>
      <c r="AA364" s="434">
        <v>1</v>
      </c>
      <c r="AB364" s="434">
        <v>7</v>
      </c>
      <c r="AC364" s="434">
        <v>7</v>
      </c>
      <c r="AZ364" s="434">
        <v>2</v>
      </c>
      <c r="BA364" s="434">
        <f>IF(AZ364=1,G364,0)</f>
        <v>0</v>
      </c>
      <c r="BB364" s="434">
        <f>IF(AZ364=2,G364,0)</f>
        <v>0</v>
      </c>
      <c r="BC364" s="434">
        <f>IF(AZ364=3,G364,0)</f>
        <v>0</v>
      </c>
      <c r="BD364" s="434">
        <f>IF(AZ364=4,G364,0)</f>
        <v>0</v>
      </c>
      <c r="BE364" s="434">
        <f>IF(AZ364=5,G364,0)</f>
        <v>0</v>
      </c>
      <c r="CA364" s="444">
        <v>1</v>
      </c>
      <c r="CB364" s="444">
        <v>7</v>
      </c>
    </row>
    <row r="365" spans="1:15" ht="12.75">
      <c r="A365" s="478"/>
      <c r="B365" s="477"/>
      <c r="C365" s="1621" t="s">
        <v>873</v>
      </c>
      <c r="D365" s="1589"/>
      <c r="E365" s="476">
        <v>8.75</v>
      </c>
      <c r="F365" s="475"/>
      <c r="G365" s="230"/>
      <c r="H365" s="474"/>
      <c r="I365" s="473"/>
      <c r="J365" s="569"/>
      <c r="K365" s="572"/>
      <c r="L365" s="436"/>
      <c r="M365" s="472" t="s">
        <v>873</v>
      </c>
      <c r="O365" s="444"/>
    </row>
    <row r="366" spans="1:15" ht="12.75">
      <c r="A366" s="478"/>
      <c r="B366" s="477"/>
      <c r="C366" s="1621" t="s">
        <v>874</v>
      </c>
      <c r="D366" s="1589"/>
      <c r="E366" s="476">
        <v>2.2</v>
      </c>
      <c r="F366" s="475"/>
      <c r="G366" s="230"/>
      <c r="H366" s="474"/>
      <c r="I366" s="473"/>
      <c r="J366" s="569"/>
      <c r="K366" s="572"/>
      <c r="L366" s="436"/>
      <c r="M366" s="472" t="s">
        <v>874</v>
      </c>
      <c r="O366" s="444"/>
    </row>
    <row r="367" spans="1:15" ht="12.75">
      <c r="A367" s="478"/>
      <c r="B367" s="477"/>
      <c r="C367" s="1621" t="s">
        <v>875</v>
      </c>
      <c r="D367" s="1589"/>
      <c r="E367" s="476">
        <v>2.2</v>
      </c>
      <c r="F367" s="475"/>
      <c r="G367" s="230"/>
      <c r="H367" s="474"/>
      <c r="I367" s="473"/>
      <c r="J367" s="569"/>
      <c r="K367" s="572"/>
      <c r="L367" s="436"/>
      <c r="M367" s="472" t="s">
        <v>875</v>
      </c>
      <c r="O367" s="444"/>
    </row>
    <row r="368" spans="1:15" ht="12.75">
      <c r="A368" s="478"/>
      <c r="B368" s="477"/>
      <c r="C368" s="1621" t="s">
        <v>876</v>
      </c>
      <c r="D368" s="1589"/>
      <c r="E368" s="476">
        <v>15</v>
      </c>
      <c r="F368" s="475"/>
      <c r="G368" s="230"/>
      <c r="H368" s="474"/>
      <c r="I368" s="473"/>
      <c r="J368" s="569"/>
      <c r="K368" s="572"/>
      <c r="L368" s="436"/>
      <c r="M368" s="472" t="s">
        <v>876</v>
      </c>
      <c r="O368" s="444"/>
    </row>
    <row r="369" spans="1:15" ht="12.75">
      <c r="A369" s="478"/>
      <c r="B369" s="477"/>
      <c r="C369" s="1621" t="s">
        <v>877</v>
      </c>
      <c r="D369" s="1589"/>
      <c r="E369" s="476">
        <v>10</v>
      </c>
      <c r="F369" s="475"/>
      <c r="G369" s="230"/>
      <c r="H369" s="474"/>
      <c r="I369" s="473"/>
      <c r="J369" s="568"/>
      <c r="K369" s="572"/>
      <c r="L369" s="436"/>
      <c r="M369" s="472" t="s">
        <v>877</v>
      </c>
      <c r="O369" s="444"/>
    </row>
    <row r="370" spans="1:80" ht="20.4">
      <c r="A370" s="461">
        <v>115</v>
      </c>
      <c r="B370" s="460" t="s">
        <v>878</v>
      </c>
      <c r="C370" s="459" t="s">
        <v>879</v>
      </c>
      <c r="D370" s="458" t="s">
        <v>231</v>
      </c>
      <c r="E370" s="457">
        <v>7.35</v>
      </c>
      <c r="F370" s="457"/>
      <c r="G370" s="456">
        <f>E370*F370</f>
        <v>0</v>
      </c>
      <c r="H370" s="455">
        <v>0.00016</v>
      </c>
      <c r="I370" s="454">
        <f>E370*H370</f>
        <v>0.001176</v>
      </c>
      <c r="J370" s="570">
        <v>0</v>
      </c>
      <c r="K370" s="571">
        <f>E370*J370</f>
        <v>0</v>
      </c>
      <c r="L370" s="436"/>
      <c r="O370" s="444">
        <v>2</v>
      </c>
      <c r="AA370" s="434">
        <v>1</v>
      </c>
      <c r="AB370" s="434">
        <v>0</v>
      </c>
      <c r="AC370" s="434">
        <v>0</v>
      </c>
      <c r="AZ370" s="434">
        <v>2</v>
      </c>
      <c r="BA370" s="434">
        <f>IF(AZ370=1,G370,0)</f>
        <v>0</v>
      </c>
      <c r="BB370" s="434">
        <f>IF(AZ370=2,G370,0)</f>
        <v>0</v>
      </c>
      <c r="BC370" s="434">
        <f>IF(AZ370=3,G370,0)</f>
        <v>0</v>
      </c>
      <c r="BD370" s="434">
        <f>IF(AZ370=4,G370,0)</f>
        <v>0</v>
      </c>
      <c r="BE370" s="434">
        <f>IF(AZ370=5,G370,0)</f>
        <v>0</v>
      </c>
      <c r="CA370" s="444">
        <v>1</v>
      </c>
      <c r="CB370" s="444">
        <v>0</v>
      </c>
    </row>
    <row r="371" spans="1:15" ht="12.75">
      <c r="A371" s="478"/>
      <c r="B371" s="477"/>
      <c r="C371" s="1621" t="s">
        <v>851</v>
      </c>
      <c r="D371" s="1589"/>
      <c r="E371" s="476">
        <v>5.35</v>
      </c>
      <c r="F371" s="475"/>
      <c r="G371" s="230"/>
      <c r="H371" s="474"/>
      <c r="I371" s="473"/>
      <c r="J371" s="569"/>
      <c r="K371" s="572"/>
      <c r="L371" s="436"/>
      <c r="M371" s="472" t="s">
        <v>851</v>
      </c>
      <c r="O371" s="444"/>
    </row>
    <row r="372" spans="1:15" ht="12.75">
      <c r="A372" s="478"/>
      <c r="B372" s="477"/>
      <c r="C372" s="1621" t="s">
        <v>852</v>
      </c>
      <c r="D372" s="1589"/>
      <c r="E372" s="476">
        <v>1</v>
      </c>
      <c r="F372" s="475"/>
      <c r="G372" s="230"/>
      <c r="H372" s="474"/>
      <c r="I372" s="473"/>
      <c r="J372" s="569"/>
      <c r="K372" s="572"/>
      <c r="L372" s="436"/>
      <c r="M372" s="472" t="s">
        <v>852</v>
      </c>
      <c r="O372" s="444"/>
    </row>
    <row r="373" spans="1:15" ht="12.75">
      <c r="A373" s="478"/>
      <c r="B373" s="477"/>
      <c r="C373" s="1621" t="s">
        <v>853</v>
      </c>
      <c r="D373" s="1589"/>
      <c r="E373" s="476">
        <v>1</v>
      </c>
      <c r="F373" s="475"/>
      <c r="G373" s="230"/>
      <c r="H373" s="474"/>
      <c r="I373" s="473"/>
      <c r="J373" s="569"/>
      <c r="K373" s="572"/>
      <c r="L373" s="436"/>
      <c r="M373" s="472" t="s">
        <v>853</v>
      </c>
      <c r="O373" s="444"/>
    </row>
    <row r="374" spans="1:80" ht="12.75">
      <c r="A374" s="461">
        <v>116</v>
      </c>
      <c r="B374" s="460" t="s">
        <v>880</v>
      </c>
      <c r="C374" s="459" t="s">
        <v>881</v>
      </c>
      <c r="D374" s="458" t="s">
        <v>196</v>
      </c>
      <c r="E374" s="457">
        <v>2</v>
      </c>
      <c r="F374" s="457"/>
      <c r="G374" s="456">
        <f>E374*F374</f>
        <v>0</v>
      </c>
      <c r="H374" s="455">
        <v>0</v>
      </c>
      <c r="I374" s="454">
        <f>E374*H374</f>
        <v>0</v>
      </c>
      <c r="J374" s="570">
        <v>0</v>
      </c>
      <c r="K374" s="571">
        <f>E374*J374</f>
        <v>0</v>
      </c>
      <c r="L374" s="436"/>
      <c r="O374" s="444">
        <v>2</v>
      </c>
      <c r="AA374" s="434">
        <v>1</v>
      </c>
      <c r="AB374" s="434">
        <v>7</v>
      </c>
      <c r="AC374" s="434">
        <v>7</v>
      </c>
      <c r="AZ374" s="434">
        <v>2</v>
      </c>
      <c r="BA374" s="434">
        <f>IF(AZ374=1,G374,0)</f>
        <v>0</v>
      </c>
      <c r="BB374" s="434">
        <f>IF(AZ374=2,G374,0)</f>
        <v>0</v>
      </c>
      <c r="BC374" s="434">
        <f>IF(AZ374=3,G374,0)</f>
        <v>0</v>
      </c>
      <c r="BD374" s="434">
        <f>IF(AZ374=4,G374,0)</f>
        <v>0</v>
      </c>
      <c r="BE374" s="434">
        <f>IF(AZ374=5,G374,0)</f>
        <v>0</v>
      </c>
      <c r="CA374" s="444">
        <v>1</v>
      </c>
      <c r="CB374" s="444">
        <v>7</v>
      </c>
    </row>
    <row r="375" spans="1:80" ht="12.75">
      <c r="A375" s="461">
        <v>117</v>
      </c>
      <c r="B375" s="460" t="s">
        <v>882</v>
      </c>
      <c r="C375" s="459" t="s">
        <v>883</v>
      </c>
      <c r="D375" s="458" t="s">
        <v>196</v>
      </c>
      <c r="E375" s="457">
        <v>2</v>
      </c>
      <c r="F375" s="457"/>
      <c r="G375" s="456">
        <f>E375*F375</f>
        <v>0</v>
      </c>
      <c r="H375" s="455">
        <v>0</v>
      </c>
      <c r="I375" s="454">
        <f>E375*H375</f>
        <v>0</v>
      </c>
      <c r="J375" s="570">
        <v>0</v>
      </c>
      <c r="K375" s="571">
        <f>E375*J375</f>
        <v>0</v>
      </c>
      <c r="L375" s="436"/>
      <c r="O375" s="444">
        <v>2</v>
      </c>
      <c r="AA375" s="434">
        <v>1</v>
      </c>
      <c r="AB375" s="434">
        <v>7</v>
      </c>
      <c r="AC375" s="434">
        <v>7</v>
      </c>
      <c r="AZ375" s="434">
        <v>2</v>
      </c>
      <c r="BA375" s="434">
        <f>IF(AZ375=1,G375,0)</f>
        <v>0</v>
      </c>
      <c r="BB375" s="434">
        <f>IF(AZ375=2,G375,0)</f>
        <v>0</v>
      </c>
      <c r="BC375" s="434">
        <f>IF(AZ375=3,G375,0)</f>
        <v>0</v>
      </c>
      <c r="BD375" s="434">
        <f>IF(AZ375=4,G375,0)</f>
        <v>0</v>
      </c>
      <c r="BE375" s="434">
        <f>IF(AZ375=5,G375,0)</f>
        <v>0</v>
      </c>
      <c r="CA375" s="444">
        <v>1</v>
      </c>
      <c r="CB375" s="444">
        <v>7</v>
      </c>
    </row>
    <row r="376" spans="1:15" ht="12.75">
      <c r="A376" s="478"/>
      <c r="B376" s="477"/>
      <c r="C376" s="1621" t="s">
        <v>740</v>
      </c>
      <c r="D376" s="1589"/>
      <c r="E376" s="476">
        <v>1</v>
      </c>
      <c r="F376" s="475"/>
      <c r="G376" s="230"/>
      <c r="H376" s="474"/>
      <c r="I376" s="473"/>
      <c r="J376" s="569"/>
      <c r="K376" s="572"/>
      <c r="L376" s="436"/>
      <c r="M376" s="472" t="s">
        <v>740</v>
      </c>
      <c r="O376" s="444"/>
    </row>
    <row r="377" spans="1:15" ht="12.75">
      <c r="A377" s="478"/>
      <c r="B377" s="477"/>
      <c r="C377" s="1621" t="s">
        <v>741</v>
      </c>
      <c r="D377" s="1589"/>
      <c r="E377" s="476">
        <v>1</v>
      </c>
      <c r="F377" s="475"/>
      <c r="G377" s="230"/>
      <c r="H377" s="474"/>
      <c r="I377" s="473"/>
      <c r="J377" s="569"/>
      <c r="K377" s="572"/>
      <c r="L377" s="436"/>
      <c r="M377" s="472" t="s">
        <v>741</v>
      </c>
      <c r="O377" s="444"/>
    </row>
    <row r="378" spans="1:80" ht="12.75">
      <c r="A378" s="461">
        <v>118</v>
      </c>
      <c r="B378" s="460" t="s">
        <v>884</v>
      </c>
      <c r="C378" s="459" t="s">
        <v>885</v>
      </c>
      <c r="D378" s="458" t="s">
        <v>196</v>
      </c>
      <c r="E378" s="457">
        <v>2</v>
      </c>
      <c r="F378" s="457"/>
      <c r="G378" s="456">
        <f>E378*F378</f>
        <v>0</v>
      </c>
      <c r="H378" s="455">
        <v>2E-05</v>
      </c>
      <c r="I378" s="454">
        <f>E378*H378</f>
        <v>4E-05</v>
      </c>
      <c r="J378" s="570">
        <v>0</v>
      </c>
      <c r="K378" s="571">
        <f>E378*J378</f>
        <v>0</v>
      </c>
      <c r="L378" s="436"/>
      <c r="O378" s="444">
        <v>2</v>
      </c>
      <c r="AA378" s="434">
        <v>1</v>
      </c>
      <c r="AB378" s="434">
        <v>7</v>
      </c>
      <c r="AC378" s="434">
        <v>7</v>
      </c>
      <c r="AZ378" s="434">
        <v>2</v>
      </c>
      <c r="BA378" s="434">
        <f>IF(AZ378=1,G378,0)</f>
        <v>0</v>
      </c>
      <c r="BB378" s="434">
        <f>IF(AZ378=2,G378,0)</f>
        <v>0</v>
      </c>
      <c r="BC378" s="434">
        <f>IF(AZ378=3,G378,0)</f>
        <v>0</v>
      </c>
      <c r="BD378" s="434">
        <f>IF(AZ378=4,G378,0)</f>
        <v>0</v>
      </c>
      <c r="BE378" s="434">
        <f>IF(AZ378=5,G378,0)</f>
        <v>0</v>
      </c>
      <c r="CA378" s="444">
        <v>1</v>
      </c>
      <c r="CB378" s="444">
        <v>7</v>
      </c>
    </row>
    <row r="379" spans="1:15" ht="12.75">
      <c r="A379" s="478"/>
      <c r="B379" s="477"/>
      <c r="C379" s="1621" t="s">
        <v>886</v>
      </c>
      <c r="D379" s="1589"/>
      <c r="E379" s="476">
        <v>2</v>
      </c>
      <c r="F379" s="475"/>
      <c r="G379" s="230"/>
      <c r="H379" s="474"/>
      <c r="I379" s="473"/>
      <c r="J379" s="569"/>
      <c r="K379" s="572"/>
      <c r="L379" s="436"/>
      <c r="M379" s="472" t="s">
        <v>886</v>
      </c>
      <c r="O379" s="444"/>
    </row>
    <row r="380" spans="1:80" ht="12.75">
      <c r="A380" s="461">
        <v>119</v>
      </c>
      <c r="B380" s="460" t="s">
        <v>887</v>
      </c>
      <c r="C380" s="459" t="s">
        <v>888</v>
      </c>
      <c r="D380" s="458" t="s">
        <v>181</v>
      </c>
      <c r="E380" s="457">
        <v>2</v>
      </c>
      <c r="F380" s="457"/>
      <c r="G380" s="456">
        <f aca="true" t="shared" si="0" ref="G380:G388">E380*F380</f>
        <v>0</v>
      </c>
      <c r="H380" s="455">
        <v>0</v>
      </c>
      <c r="I380" s="454">
        <f aca="true" t="shared" si="1" ref="I380:I388">E380*H380</f>
        <v>0</v>
      </c>
      <c r="J380" s="570">
        <v>0</v>
      </c>
      <c r="K380" s="571">
        <f aca="true" t="shared" si="2" ref="K380:K388">E380*J380</f>
        <v>0</v>
      </c>
      <c r="L380" s="436"/>
      <c r="O380" s="444">
        <v>2</v>
      </c>
      <c r="AA380" s="434">
        <v>1</v>
      </c>
      <c r="AB380" s="434">
        <v>7</v>
      </c>
      <c r="AC380" s="434">
        <v>7</v>
      </c>
      <c r="AZ380" s="434">
        <v>2</v>
      </c>
      <c r="BA380" s="434">
        <f aca="true" t="shared" si="3" ref="BA380:BA388">IF(AZ380=1,G380,0)</f>
        <v>0</v>
      </c>
      <c r="BB380" s="434">
        <f aca="true" t="shared" si="4" ref="BB380:BB388">IF(AZ380=2,G380,0)</f>
        <v>0</v>
      </c>
      <c r="BC380" s="434">
        <f aca="true" t="shared" si="5" ref="BC380:BC388">IF(AZ380=3,G380,0)</f>
        <v>0</v>
      </c>
      <c r="BD380" s="434">
        <f aca="true" t="shared" si="6" ref="BD380:BD388">IF(AZ380=4,G380,0)</f>
        <v>0</v>
      </c>
      <c r="BE380" s="434">
        <f aca="true" t="shared" si="7" ref="BE380:BE388">IF(AZ380=5,G380,0)</f>
        <v>0</v>
      </c>
      <c r="CA380" s="444">
        <v>1</v>
      </c>
      <c r="CB380" s="444">
        <v>7</v>
      </c>
    </row>
    <row r="381" spans="1:80" ht="12.75">
      <c r="A381" s="461">
        <v>120</v>
      </c>
      <c r="B381" s="460" t="s">
        <v>889</v>
      </c>
      <c r="C381" s="459" t="s">
        <v>890</v>
      </c>
      <c r="D381" s="458" t="s">
        <v>181</v>
      </c>
      <c r="E381" s="457">
        <v>2</v>
      </c>
      <c r="F381" s="457"/>
      <c r="G381" s="456">
        <f t="shared" si="0"/>
        <v>0</v>
      </c>
      <c r="H381" s="455">
        <v>0.00019</v>
      </c>
      <c r="I381" s="454">
        <f t="shared" si="1"/>
        <v>0.00038</v>
      </c>
      <c r="J381" s="570">
        <v>0</v>
      </c>
      <c r="K381" s="571">
        <f t="shared" si="2"/>
        <v>0</v>
      </c>
      <c r="L381" s="436"/>
      <c r="O381" s="444">
        <v>2</v>
      </c>
      <c r="AA381" s="434">
        <v>1</v>
      </c>
      <c r="AB381" s="434">
        <v>7</v>
      </c>
      <c r="AC381" s="434">
        <v>7</v>
      </c>
      <c r="AZ381" s="434">
        <v>2</v>
      </c>
      <c r="BA381" s="434">
        <f t="shared" si="3"/>
        <v>0</v>
      </c>
      <c r="BB381" s="434">
        <f t="shared" si="4"/>
        <v>0</v>
      </c>
      <c r="BC381" s="434">
        <f t="shared" si="5"/>
        <v>0</v>
      </c>
      <c r="BD381" s="434">
        <f t="shared" si="6"/>
        <v>0</v>
      </c>
      <c r="BE381" s="434">
        <f t="shared" si="7"/>
        <v>0</v>
      </c>
      <c r="CA381" s="444">
        <v>1</v>
      </c>
      <c r="CB381" s="444">
        <v>7</v>
      </c>
    </row>
    <row r="382" spans="1:80" ht="12.75">
      <c r="A382" s="461">
        <v>121</v>
      </c>
      <c r="B382" s="460" t="s">
        <v>891</v>
      </c>
      <c r="C382" s="459" t="s">
        <v>892</v>
      </c>
      <c r="D382" s="458" t="s">
        <v>181</v>
      </c>
      <c r="E382" s="457">
        <v>1</v>
      </c>
      <c r="F382" s="457"/>
      <c r="G382" s="456">
        <f t="shared" si="0"/>
        <v>0</v>
      </c>
      <c r="H382" s="455">
        <v>0.00019</v>
      </c>
      <c r="I382" s="454">
        <f t="shared" si="1"/>
        <v>0.00019</v>
      </c>
      <c r="J382" s="570">
        <v>0</v>
      </c>
      <c r="K382" s="571">
        <f t="shared" si="2"/>
        <v>0</v>
      </c>
      <c r="L382" s="436"/>
      <c r="O382" s="444">
        <v>2</v>
      </c>
      <c r="AA382" s="434">
        <v>1</v>
      </c>
      <c r="AB382" s="434">
        <v>7</v>
      </c>
      <c r="AC382" s="434">
        <v>7</v>
      </c>
      <c r="AZ382" s="434">
        <v>2</v>
      </c>
      <c r="BA382" s="434">
        <f t="shared" si="3"/>
        <v>0</v>
      </c>
      <c r="BB382" s="434">
        <f t="shared" si="4"/>
        <v>0</v>
      </c>
      <c r="BC382" s="434">
        <f t="shared" si="5"/>
        <v>0</v>
      </c>
      <c r="BD382" s="434">
        <f t="shared" si="6"/>
        <v>0</v>
      </c>
      <c r="BE382" s="434">
        <f t="shared" si="7"/>
        <v>0</v>
      </c>
      <c r="CA382" s="444">
        <v>1</v>
      </c>
      <c r="CB382" s="444">
        <v>7</v>
      </c>
    </row>
    <row r="383" spans="1:80" ht="12.75">
      <c r="A383" s="461">
        <v>122</v>
      </c>
      <c r="B383" s="460" t="s">
        <v>893</v>
      </c>
      <c r="C383" s="459" t="s">
        <v>894</v>
      </c>
      <c r="D383" s="458" t="s">
        <v>181</v>
      </c>
      <c r="E383" s="457">
        <v>1</v>
      </c>
      <c r="F383" s="457"/>
      <c r="G383" s="456">
        <f t="shared" si="0"/>
        <v>0</v>
      </c>
      <c r="H383" s="455">
        <v>0.00019</v>
      </c>
      <c r="I383" s="454">
        <f t="shared" si="1"/>
        <v>0.00019</v>
      </c>
      <c r="J383" s="570">
        <v>0</v>
      </c>
      <c r="K383" s="571">
        <f t="shared" si="2"/>
        <v>0</v>
      </c>
      <c r="L383" s="436"/>
      <c r="O383" s="444">
        <v>2</v>
      </c>
      <c r="AA383" s="434">
        <v>1</v>
      </c>
      <c r="AB383" s="434">
        <v>7</v>
      </c>
      <c r="AC383" s="434">
        <v>7</v>
      </c>
      <c r="AZ383" s="434">
        <v>2</v>
      </c>
      <c r="BA383" s="434">
        <f t="shared" si="3"/>
        <v>0</v>
      </c>
      <c r="BB383" s="434">
        <f t="shared" si="4"/>
        <v>0</v>
      </c>
      <c r="BC383" s="434">
        <f t="shared" si="5"/>
        <v>0</v>
      </c>
      <c r="BD383" s="434">
        <f t="shared" si="6"/>
        <v>0</v>
      </c>
      <c r="BE383" s="434">
        <f t="shared" si="7"/>
        <v>0</v>
      </c>
      <c r="CA383" s="444">
        <v>1</v>
      </c>
      <c r="CB383" s="444">
        <v>7</v>
      </c>
    </row>
    <row r="384" spans="1:80" ht="20.4">
      <c r="A384" s="461">
        <v>123</v>
      </c>
      <c r="B384" s="460" t="s">
        <v>895</v>
      </c>
      <c r="C384" s="459" t="s">
        <v>896</v>
      </c>
      <c r="D384" s="458" t="s">
        <v>181</v>
      </c>
      <c r="E384" s="457">
        <v>1</v>
      </c>
      <c r="F384" s="457"/>
      <c r="G384" s="456">
        <f t="shared" si="0"/>
        <v>0</v>
      </c>
      <c r="H384" s="455">
        <v>0.00019</v>
      </c>
      <c r="I384" s="454">
        <f t="shared" si="1"/>
        <v>0.00019</v>
      </c>
      <c r="J384" s="570">
        <v>0</v>
      </c>
      <c r="K384" s="571">
        <f t="shared" si="2"/>
        <v>0</v>
      </c>
      <c r="L384" s="436"/>
      <c r="O384" s="444">
        <v>2</v>
      </c>
      <c r="AA384" s="434">
        <v>1</v>
      </c>
      <c r="AB384" s="434">
        <v>7</v>
      </c>
      <c r="AC384" s="434">
        <v>7</v>
      </c>
      <c r="AZ384" s="434">
        <v>2</v>
      </c>
      <c r="BA384" s="434">
        <f t="shared" si="3"/>
        <v>0</v>
      </c>
      <c r="BB384" s="434">
        <f t="shared" si="4"/>
        <v>0</v>
      </c>
      <c r="BC384" s="434">
        <f t="shared" si="5"/>
        <v>0</v>
      </c>
      <c r="BD384" s="434">
        <f t="shared" si="6"/>
        <v>0</v>
      </c>
      <c r="BE384" s="434">
        <f t="shared" si="7"/>
        <v>0</v>
      </c>
      <c r="CA384" s="444">
        <v>1</v>
      </c>
      <c r="CB384" s="444">
        <v>7</v>
      </c>
    </row>
    <row r="385" spans="1:80" ht="12.75">
      <c r="A385" s="461">
        <v>124</v>
      </c>
      <c r="B385" s="460" t="s">
        <v>897</v>
      </c>
      <c r="C385" s="459" t="s">
        <v>898</v>
      </c>
      <c r="D385" s="458" t="s">
        <v>181</v>
      </c>
      <c r="E385" s="457">
        <v>4</v>
      </c>
      <c r="F385" s="457"/>
      <c r="G385" s="456">
        <f t="shared" si="0"/>
        <v>0</v>
      </c>
      <c r="H385" s="455">
        <v>0.00019</v>
      </c>
      <c r="I385" s="578">
        <f t="shared" si="1"/>
        <v>0.00076</v>
      </c>
      <c r="J385" s="579">
        <v>0</v>
      </c>
      <c r="K385" s="571">
        <f t="shared" si="2"/>
        <v>0</v>
      </c>
      <c r="L385" s="436"/>
      <c r="O385" s="444">
        <v>2</v>
      </c>
      <c r="AA385" s="434">
        <v>1</v>
      </c>
      <c r="AB385" s="434">
        <v>7</v>
      </c>
      <c r="AC385" s="434">
        <v>7</v>
      </c>
      <c r="AZ385" s="434">
        <v>2</v>
      </c>
      <c r="BA385" s="434">
        <f t="shared" si="3"/>
        <v>0</v>
      </c>
      <c r="BB385" s="434">
        <f t="shared" si="4"/>
        <v>0</v>
      </c>
      <c r="BC385" s="434">
        <f t="shared" si="5"/>
        <v>0</v>
      </c>
      <c r="BD385" s="434">
        <f t="shared" si="6"/>
        <v>0</v>
      </c>
      <c r="BE385" s="434">
        <f t="shared" si="7"/>
        <v>0</v>
      </c>
      <c r="CA385" s="444">
        <v>1</v>
      </c>
      <c r="CB385" s="444">
        <v>7</v>
      </c>
    </row>
    <row r="386" spans="1:80" ht="12.75">
      <c r="A386" s="461">
        <v>125</v>
      </c>
      <c r="B386" s="460" t="s">
        <v>899</v>
      </c>
      <c r="C386" s="459" t="s">
        <v>900</v>
      </c>
      <c r="D386" s="458" t="s">
        <v>181</v>
      </c>
      <c r="E386" s="457">
        <v>2</v>
      </c>
      <c r="F386" s="457"/>
      <c r="G386" s="456">
        <f t="shared" si="0"/>
        <v>0</v>
      </c>
      <c r="H386" s="455">
        <v>0.00019</v>
      </c>
      <c r="I386" s="454">
        <f t="shared" si="1"/>
        <v>0.00038</v>
      </c>
      <c r="J386" s="570">
        <v>0</v>
      </c>
      <c r="K386" s="571">
        <f t="shared" si="2"/>
        <v>0</v>
      </c>
      <c r="L386" s="436"/>
      <c r="O386" s="444">
        <v>2</v>
      </c>
      <c r="AA386" s="434">
        <v>1</v>
      </c>
      <c r="AB386" s="434">
        <v>7</v>
      </c>
      <c r="AC386" s="434">
        <v>7</v>
      </c>
      <c r="AZ386" s="434">
        <v>2</v>
      </c>
      <c r="BA386" s="434">
        <f t="shared" si="3"/>
        <v>0</v>
      </c>
      <c r="BB386" s="434">
        <f t="shared" si="4"/>
        <v>0</v>
      </c>
      <c r="BC386" s="434">
        <f t="shared" si="5"/>
        <v>0</v>
      </c>
      <c r="BD386" s="434">
        <f t="shared" si="6"/>
        <v>0</v>
      </c>
      <c r="BE386" s="434">
        <f t="shared" si="7"/>
        <v>0</v>
      </c>
      <c r="CA386" s="444">
        <v>1</v>
      </c>
      <c r="CB386" s="444">
        <v>7</v>
      </c>
    </row>
    <row r="387" spans="1:80" ht="12.75">
      <c r="A387" s="461">
        <v>126</v>
      </c>
      <c r="B387" s="460" t="s">
        <v>901</v>
      </c>
      <c r="C387" s="459" t="s">
        <v>902</v>
      </c>
      <c r="D387" s="458" t="s">
        <v>196</v>
      </c>
      <c r="E387" s="457">
        <v>2</v>
      </c>
      <c r="F387" s="457"/>
      <c r="G387" s="456">
        <f t="shared" si="0"/>
        <v>0</v>
      </c>
      <c r="H387" s="455">
        <v>0.0008</v>
      </c>
      <c r="I387" s="454">
        <f t="shared" si="1"/>
        <v>0.0016</v>
      </c>
      <c r="J387" s="570"/>
      <c r="K387" s="571">
        <f t="shared" si="2"/>
        <v>0</v>
      </c>
      <c r="L387" s="436"/>
      <c r="O387" s="444">
        <v>2</v>
      </c>
      <c r="AA387" s="434">
        <v>3</v>
      </c>
      <c r="AB387" s="434">
        <v>7</v>
      </c>
      <c r="AC387" s="434">
        <v>54914636</v>
      </c>
      <c r="AZ387" s="434">
        <v>2</v>
      </c>
      <c r="BA387" s="434">
        <f t="shared" si="3"/>
        <v>0</v>
      </c>
      <c r="BB387" s="434">
        <f t="shared" si="4"/>
        <v>0</v>
      </c>
      <c r="BC387" s="434">
        <f t="shared" si="5"/>
        <v>0</v>
      </c>
      <c r="BD387" s="434">
        <f t="shared" si="6"/>
        <v>0</v>
      </c>
      <c r="BE387" s="434">
        <f t="shared" si="7"/>
        <v>0</v>
      </c>
      <c r="CA387" s="444">
        <v>3</v>
      </c>
      <c r="CB387" s="444">
        <v>7</v>
      </c>
    </row>
    <row r="388" spans="1:80" ht="12.75">
      <c r="A388" s="461">
        <v>127</v>
      </c>
      <c r="B388" s="460" t="s">
        <v>903</v>
      </c>
      <c r="C388" s="459" t="s">
        <v>904</v>
      </c>
      <c r="D388" s="458" t="s">
        <v>231</v>
      </c>
      <c r="E388" s="457">
        <v>5.35</v>
      </c>
      <c r="F388" s="457"/>
      <c r="G388" s="456">
        <f t="shared" si="0"/>
        <v>0</v>
      </c>
      <c r="H388" s="455">
        <v>0.00243</v>
      </c>
      <c r="I388" s="454">
        <f t="shared" si="1"/>
        <v>0.013000499999999998</v>
      </c>
      <c r="J388" s="570"/>
      <c r="K388" s="571">
        <f t="shared" si="2"/>
        <v>0</v>
      </c>
      <c r="L388" s="436"/>
      <c r="O388" s="444">
        <v>2</v>
      </c>
      <c r="AA388" s="434">
        <v>3</v>
      </c>
      <c r="AB388" s="434">
        <v>7</v>
      </c>
      <c r="AC388" s="434">
        <v>60780011</v>
      </c>
      <c r="AZ388" s="434">
        <v>2</v>
      </c>
      <c r="BA388" s="434">
        <f t="shared" si="3"/>
        <v>0</v>
      </c>
      <c r="BB388" s="434">
        <f t="shared" si="4"/>
        <v>0</v>
      </c>
      <c r="BC388" s="434">
        <f t="shared" si="5"/>
        <v>0</v>
      </c>
      <c r="BD388" s="434">
        <f t="shared" si="6"/>
        <v>0</v>
      </c>
      <c r="BE388" s="434">
        <f t="shared" si="7"/>
        <v>0</v>
      </c>
      <c r="CA388" s="444">
        <v>3</v>
      </c>
      <c r="CB388" s="444">
        <v>7</v>
      </c>
    </row>
    <row r="389" spans="1:15" ht="12.75">
      <c r="A389" s="478"/>
      <c r="B389" s="477"/>
      <c r="C389" s="1621" t="s">
        <v>851</v>
      </c>
      <c r="D389" s="1589"/>
      <c r="E389" s="476">
        <v>5.35</v>
      </c>
      <c r="F389" s="475"/>
      <c r="G389" s="230"/>
      <c r="H389" s="474"/>
      <c r="I389" s="473"/>
      <c r="J389" s="568"/>
      <c r="K389" s="572"/>
      <c r="L389" s="436"/>
      <c r="M389" s="472" t="s">
        <v>851</v>
      </c>
      <c r="O389" s="444"/>
    </row>
    <row r="390" spans="1:80" ht="12.75">
      <c r="A390" s="461">
        <v>128</v>
      </c>
      <c r="B390" s="460" t="s">
        <v>905</v>
      </c>
      <c r="C390" s="459" t="s">
        <v>906</v>
      </c>
      <c r="D390" s="458" t="s">
        <v>196</v>
      </c>
      <c r="E390" s="457">
        <v>2</v>
      </c>
      <c r="F390" s="457"/>
      <c r="G390" s="456">
        <f>E390*F390</f>
        <v>0</v>
      </c>
      <c r="H390" s="455">
        <v>0.02</v>
      </c>
      <c r="I390" s="454">
        <f>E390*H390</f>
        <v>0.04</v>
      </c>
      <c r="J390" s="570"/>
      <c r="K390" s="571">
        <f>E390*J390</f>
        <v>0</v>
      </c>
      <c r="L390" s="436"/>
      <c r="O390" s="444">
        <v>2</v>
      </c>
      <c r="AA390" s="434">
        <v>3</v>
      </c>
      <c r="AB390" s="434">
        <v>1</v>
      </c>
      <c r="AC390" s="434">
        <v>61161720</v>
      </c>
      <c r="AZ390" s="434">
        <v>2</v>
      </c>
      <c r="BA390" s="434">
        <f>IF(AZ390=1,G390,0)</f>
        <v>0</v>
      </c>
      <c r="BB390" s="434">
        <f>IF(AZ390=2,G390,0)</f>
        <v>0</v>
      </c>
      <c r="BC390" s="434">
        <f>IF(AZ390=3,G390,0)</f>
        <v>0</v>
      </c>
      <c r="BD390" s="434">
        <f>IF(AZ390=4,G390,0)</f>
        <v>0</v>
      </c>
      <c r="BE390" s="434">
        <f>IF(AZ390=5,G390,0)</f>
        <v>0</v>
      </c>
      <c r="CA390" s="444">
        <v>3</v>
      </c>
      <c r="CB390" s="444">
        <v>1</v>
      </c>
    </row>
    <row r="391" spans="1:15" ht="12.75">
      <c r="A391" s="478"/>
      <c r="B391" s="477"/>
      <c r="C391" s="1621" t="s">
        <v>740</v>
      </c>
      <c r="D391" s="1589"/>
      <c r="E391" s="476">
        <v>1</v>
      </c>
      <c r="F391" s="475"/>
      <c r="G391" s="230"/>
      <c r="H391" s="474"/>
      <c r="I391" s="473"/>
      <c r="J391" s="569"/>
      <c r="K391" s="572"/>
      <c r="L391" s="436"/>
      <c r="M391" s="472" t="s">
        <v>740</v>
      </c>
      <c r="O391" s="444"/>
    </row>
    <row r="392" spans="1:15" ht="12.75">
      <c r="A392" s="478"/>
      <c r="B392" s="477"/>
      <c r="C392" s="1621" t="s">
        <v>741</v>
      </c>
      <c r="D392" s="1589"/>
      <c r="E392" s="476">
        <v>1</v>
      </c>
      <c r="F392" s="475"/>
      <c r="G392" s="230"/>
      <c r="H392" s="474"/>
      <c r="I392" s="473"/>
      <c r="J392" s="569"/>
      <c r="K392" s="572"/>
      <c r="L392" s="436"/>
      <c r="M392" s="472" t="s">
        <v>741</v>
      </c>
      <c r="O392" s="444"/>
    </row>
    <row r="393" spans="1:80" ht="12.75">
      <c r="A393" s="461">
        <v>129</v>
      </c>
      <c r="B393" s="460" t="s">
        <v>907</v>
      </c>
      <c r="C393" s="459" t="s">
        <v>908</v>
      </c>
      <c r="D393" s="458" t="s">
        <v>9</v>
      </c>
      <c r="E393" s="457"/>
      <c r="F393" s="457"/>
      <c r="G393" s="456">
        <f>E393*F393</f>
        <v>0</v>
      </c>
      <c r="H393" s="455">
        <v>0</v>
      </c>
      <c r="I393" s="454">
        <f>E393*H393</f>
        <v>0</v>
      </c>
      <c r="J393" s="570"/>
      <c r="K393" s="571">
        <f>E393*J393</f>
        <v>0</v>
      </c>
      <c r="L393" s="436"/>
      <c r="O393" s="444">
        <v>2</v>
      </c>
      <c r="AA393" s="434">
        <v>7</v>
      </c>
      <c r="AB393" s="434">
        <v>1002</v>
      </c>
      <c r="AC393" s="434">
        <v>5</v>
      </c>
      <c r="AZ393" s="434">
        <v>2</v>
      </c>
      <c r="BA393" s="434">
        <f>IF(AZ393=1,G393,0)</f>
        <v>0</v>
      </c>
      <c r="BB393" s="434">
        <f>IF(AZ393=2,G393,0)</f>
        <v>0</v>
      </c>
      <c r="BC393" s="434">
        <f>IF(AZ393=3,G393,0)</f>
        <v>0</v>
      </c>
      <c r="BD393" s="434">
        <f>IF(AZ393=4,G393,0)</f>
        <v>0</v>
      </c>
      <c r="BE393" s="434">
        <f>IF(AZ393=5,G393,0)</f>
        <v>0</v>
      </c>
      <c r="CA393" s="444">
        <v>7</v>
      </c>
      <c r="CB393" s="444">
        <v>1002</v>
      </c>
    </row>
    <row r="394" spans="1:57" ht="12.75">
      <c r="A394" s="453"/>
      <c r="B394" s="452" t="s">
        <v>175</v>
      </c>
      <c r="C394" s="451" t="s">
        <v>909</v>
      </c>
      <c r="D394" s="450"/>
      <c r="E394" s="449"/>
      <c r="F394" s="448"/>
      <c r="G394" s="447">
        <f>SUM(G357:G393)</f>
        <v>0</v>
      </c>
      <c r="H394" s="446"/>
      <c r="I394" s="445">
        <f>SUM(I357:I393)</f>
        <v>0.0661745</v>
      </c>
      <c r="J394" s="568"/>
      <c r="K394" s="576">
        <f>SUM(K357:K393)</f>
        <v>0</v>
      </c>
      <c r="L394" s="436"/>
      <c r="O394" s="444">
        <v>4</v>
      </c>
      <c r="BA394" s="443">
        <f>SUM(BA357:BA393)</f>
        <v>0</v>
      </c>
      <c r="BB394" s="443">
        <f>SUM(BB357:BB393)</f>
        <v>0</v>
      </c>
      <c r="BC394" s="443">
        <f>SUM(BC357:BC393)</f>
        <v>0</v>
      </c>
      <c r="BD394" s="443">
        <f>SUM(BD357:BD393)</f>
        <v>0</v>
      </c>
      <c r="BE394" s="443">
        <f>SUM(BE357:BE393)</f>
        <v>0</v>
      </c>
    </row>
    <row r="395" spans="1:15" ht="12.75">
      <c r="A395" s="471" t="s">
        <v>140</v>
      </c>
      <c r="B395" s="470" t="s">
        <v>255</v>
      </c>
      <c r="C395" s="469" t="s">
        <v>256</v>
      </c>
      <c r="D395" s="468"/>
      <c r="E395" s="467"/>
      <c r="F395" s="467"/>
      <c r="G395" s="466"/>
      <c r="H395" s="465"/>
      <c r="I395" s="464"/>
      <c r="J395" s="568"/>
      <c r="K395" s="569"/>
      <c r="L395" s="436"/>
      <c r="O395" s="444">
        <v>1</v>
      </c>
    </row>
    <row r="396" spans="1:80" ht="12.75">
      <c r="A396" s="461">
        <v>130</v>
      </c>
      <c r="B396" s="460" t="s">
        <v>910</v>
      </c>
      <c r="C396" s="459" t="s">
        <v>911</v>
      </c>
      <c r="D396" s="458" t="s">
        <v>259</v>
      </c>
      <c r="E396" s="457">
        <v>1399</v>
      </c>
      <c r="F396" s="457"/>
      <c r="G396" s="456">
        <f>E396*F396</f>
        <v>0</v>
      </c>
      <c r="H396" s="455">
        <v>5E-05</v>
      </c>
      <c r="I396" s="454">
        <f>E396*H396</f>
        <v>0.06995</v>
      </c>
      <c r="J396" s="570">
        <v>0</v>
      </c>
      <c r="K396" s="571">
        <f>E396*J396</f>
        <v>0</v>
      </c>
      <c r="L396" s="436"/>
      <c r="O396" s="444">
        <v>2</v>
      </c>
      <c r="AA396" s="434">
        <v>1</v>
      </c>
      <c r="AB396" s="434">
        <v>7</v>
      </c>
      <c r="AC396" s="434">
        <v>7</v>
      </c>
      <c r="AZ396" s="434">
        <v>2</v>
      </c>
      <c r="BA396" s="434">
        <f>IF(AZ396=1,G396,0)</f>
        <v>0</v>
      </c>
      <c r="BB396" s="434">
        <f>IF(AZ396=2,G396,0)</f>
        <v>0</v>
      </c>
      <c r="BC396" s="434">
        <f>IF(AZ396=3,G396,0)</f>
        <v>0</v>
      </c>
      <c r="BD396" s="434">
        <f>IF(AZ396=4,G396,0)</f>
        <v>0</v>
      </c>
      <c r="BE396" s="434">
        <f>IF(AZ396=5,G396,0)</f>
        <v>0</v>
      </c>
      <c r="CA396" s="444">
        <v>1</v>
      </c>
      <c r="CB396" s="444">
        <v>7</v>
      </c>
    </row>
    <row r="397" spans="1:15" ht="12.75">
      <c r="A397" s="478"/>
      <c r="B397" s="477"/>
      <c r="C397" s="1621" t="s">
        <v>912</v>
      </c>
      <c r="D397" s="1589"/>
      <c r="E397" s="476">
        <v>1399</v>
      </c>
      <c r="F397" s="475"/>
      <c r="G397" s="230"/>
      <c r="H397" s="474"/>
      <c r="I397" s="473"/>
      <c r="J397" s="569"/>
      <c r="K397" s="572"/>
      <c r="L397" s="436"/>
      <c r="M397" s="472" t="s">
        <v>912</v>
      </c>
      <c r="O397" s="444"/>
    </row>
    <row r="398" spans="1:80" ht="12.75">
      <c r="A398" s="461">
        <v>131</v>
      </c>
      <c r="B398" s="460" t="s">
        <v>913</v>
      </c>
      <c r="C398" s="459" t="s">
        <v>914</v>
      </c>
      <c r="D398" s="458" t="s">
        <v>915</v>
      </c>
      <c r="E398" s="457">
        <v>0.2688</v>
      </c>
      <c r="F398" s="457"/>
      <c r="G398" s="456">
        <f>E398*F398</f>
        <v>0</v>
      </c>
      <c r="H398" s="455">
        <v>1</v>
      </c>
      <c r="I398" s="454">
        <f>E398*H398</f>
        <v>0.2688</v>
      </c>
      <c r="J398" s="570"/>
      <c r="K398" s="571">
        <f>E398*J398</f>
        <v>0</v>
      </c>
      <c r="L398" s="436"/>
      <c r="O398" s="444">
        <v>2</v>
      </c>
      <c r="AA398" s="434">
        <v>3</v>
      </c>
      <c r="AB398" s="434">
        <v>7</v>
      </c>
      <c r="AC398" s="434">
        <v>13380525</v>
      </c>
      <c r="AZ398" s="434">
        <v>2</v>
      </c>
      <c r="BA398" s="434">
        <f>IF(AZ398=1,G398,0)</f>
        <v>0</v>
      </c>
      <c r="BB398" s="434">
        <f>IF(AZ398=2,G398,0)</f>
        <v>0</v>
      </c>
      <c r="BC398" s="434">
        <f>IF(AZ398=3,G398,0)</f>
        <v>0</v>
      </c>
      <c r="BD398" s="434">
        <f>IF(AZ398=4,G398,0)</f>
        <v>0</v>
      </c>
      <c r="BE398" s="434">
        <f>IF(AZ398=5,G398,0)</f>
        <v>0</v>
      </c>
      <c r="CA398" s="444">
        <v>3</v>
      </c>
      <c r="CB398" s="444">
        <v>7</v>
      </c>
    </row>
    <row r="399" spans="1:15" ht="12.75">
      <c r="A399" s="478"/>
      <c r="B399" s="477"/>
      <c r="C399" s="1621" t="s">
        <v>916</v>
      </c>
      <c r="D399" s="1589"/>
      <c r="E399" s="476">
        <v>0.1888</v>
      </c>
      <c r="F399" s="475"/>
      <c r="G399" s="230"/>
      <c r="H399" s="474"/>
      <c r="I399" s="473"/>
      <c r="J399" s="569"/>
      <c r="K399" s="572"/>
      <c r="L399" s="436"/>
      <c r="M399" s="472" t="s">
        <v>916</v>
      </c>
      <c r="O399" s="444"/>
    </row>
    <row r="400" spans="1:15" ht="12.75">
      <c r="A400" s="478"/>
      <c r="B400" s="477"/>
      <c r="C400" s="1621" t="s">
        <v>917</v>
      </c>
      <c r="D400" s="1589"/>
      <c r="E400" s="476">
        <v>0.0801</v>
      </c>
      <c r="F400" s="475"/>
      <c r="G400" s="230"/>
      <c r="H400" s="474"/>
      <c r="I400" s="580"/>
      <c r="J400" s="569"/>
      <c r="K400" s="572"/>
      <c r="L400" s="436"/>
      <c r="M400" s="472" t="s">
        <v>917</v>
      </c>
      <c r="O400" s="444"/>
    </row>
    <row r="401" spans="1:80" ht="12.75">
      <c r="A401" s="461">
        <v>132</v>
      </c>
      <c r="B401" s="460" t="s">
        <v>918</v>
      </c>
      <c r="C401" s="459" t="s">
        <v>919</v>
      </c>
      <c r="D401" s="458" t="s">
        <v>915</v>
      </c>
      <c r="E401" s="457">
        <v>0.4395</v>
      </c>
      <c r="F401" s="457"/>
      <c r="G401" s="456">
        <f>E401*F401</f>
        <v>0</v>
      </c>
      <c r="H401" s="455">
        <v>1</v>
      </c>
      <c r="I401" s="578">
        <f>E401*H401</f>
        <v>0.4395</v>
      </c>
      <c r="J401" s="579"/>
      <c r="K401" s="571">
        <f>E401*J401</f>
        <v>0</v>
      </c>
      <c r="L401" s="436"/>
      <c r="O401" s="444">
        <v>2</v>
      </c>
      <c r="AA401" s="434">
        <v>3</v>
      </c>
      <c r="AB401" s="434">
        <v>7</v>
      </c>
      <c r="AC401" s="434">
        <v>13384440</v>
      </c>
      <c r="AZ401" s="434">
        <v>2</v>
      </c>
      <c r="BA401" s="434">
        <f>IF(AZ401=1,G401,0)</f>
        <v>0</v>
      </c>
      <c r="BB401" s="434">
        <f>IF(AZ401=2,G401,0)</f>
        <v>0</v>
      </c>
      <c r="BC401" s="434">
        <f>IF(AZ401=3,G401,0)</f>
        <v>0</v>
      </c>
      <c r="BD401" s="434">
        <f>IF(AZ401=4,G401,0)</f>
        <v>0</v>
      </c>
      <c r="BE401" s="434">
        <f>IF(AZ401=5,G401,0)</f>
        <v>0</v>
      </c>
      <c r="CA401" s="444">
        <v>3</v>
      </c>
      <c r="CB401" s="444">
        <v>7</v>
      </c>
    </row>
    <row r="402" spans="1:15" ht="12.75">
      <c r="A402" s="478"/>
      <c r="B402" s="477"/>
      <c r="C402" s="1621" t="s">
        <v>920</v>
      </c>
      <c r="D402" s="1589"/>
      <c r="E402" s="476">
        <v>0.2106</v>
      </c>
      <c r="F402" s="475"/>
      <c r="G402" s="230"/>
      <c r="H402" s="474"/>
      <c r="I402" s="473"/>
      <c r="J402" s="569"/>
      <c r="K402" s="572"/>
      <c r="L402" s="436"/>
      <c r="M402" s="472" t="s">
        <v>920</v>
      </c>
      <c r="O402" s="444"/>
    </row>
    <row r="403" spans="1:15" ht="12.75">
      <c r="A403" s="478"/>
      <c r="B403" s="477"/>
      <c r="C403" s="1621" t="s">
        <v>921</v>
      </c>
      <c r="D403" s="1589"/>
      <c r="E403" s="476">
        <v>0.229</v>
      </c>
      <c r="F403" s="475"/>
      <c r="G403" s="230"/>
      <c r="H403" s="474"/>
      <c r="I403" s="473"/>
      <c r="J403" s="569"/>
      <c r="K403" s="572"/>
      <c r="L403" s="436"/>
      <c r="M403" s="472" t="s">
        <v>921</v>
      </c>
      <c r="O403" s="444"/>
    </row>
    <row r="404" spans="1:80" ht="12.75">
      <c r="A404" s="461">
        <v>133</v>
      </c>
      <c r="B404" s="460" t="s">
        <v>922</v>
      </c>
      <c r="C404" s="459" t="s">
        <v>923</v>
      </c>
      <c r="D404" s="458" t="s">
        <v>915</v>
      </c>
      <c r="E404" s="457">
        <v>0.2725</v>
      </c>
      <c r="F404" s="457"/>
      <c r="G404" s="456">
        <f>E404*F404</f>
        <v>0</v>
      </c>
      <c r="H404" s="455">
        <v>1</v>
      </c>
      <c r="I404" s="454">
        <f>E404*H404</f>
        <v>0.2725</v>
      </c>
      <c r="J404" s="570"/>
      <c r="K404" s="571">
        <f>E404*J404</f>
        <v>0</v>
      </c>
      <c r="L404" s="436"/>
      <c r="O404" s="444">
        <v>2</v>
      </c>
      <c r="AA404" s="434">
        <v>3</v>
      </c>
      <c r="AB404" s="434">
        <v>7</v>
      </c>
      <c r="AC404" s="434">
        <v>13480815</v>
      </c>
      <c r="AZ404" s="434">
        <v>2</v>
      </c>
      <c r="BA404" s="434">
        <f>IF(AZ404=1,G404,0)</f>
        <v>0</v>
      </c>
      <c r="BB404" s="434">
        <f>IF(AZ404=2,G404,0)</f>
        <v>0</v>
      </c>
      <c r="BC404" s="434">
        <f>IF(AZ404=3,G404,0)</f>
        <v>0</v>
      </c>
      <c r="BD404" s="434">
        <f>IF(AZ404=4,G404,0)</f>
        <v>0</v>
      </c>
      <c r="BE404" s="434">
        <f>IF(AZ404=5,G404,0)</f>
        <v>0</v>
      </c>
      <c r="CA404" s="444">
        <v>3</v>
      </c>
      <c r="CB404" s="444">
        <v>7</v>
      </c>
    </row>
    <row r="405" spans="1:15" ht="12.75">
      <c r="A405" s="478"/>
      <c r="B405" s="477"/>
      <c r="C405" s="1621" t="s">
        <v>924</v>
      </c>
      <c r="D405" s="1589"/>
      <c r="E405" s="476">
        <v>0.2725</v>
      </c>
      <c r="F405" s="475"/>
      <c r="G405" s="230"/>
      <c r="H405" s="474"/>
      <c r="I405" s="473"/>
      <c r="J405" s="569"/>
      <c r="K405" s="572"/>
      <c r="L405" s="436"/>
      <c r="M405" s="472" t="s">
        <v>924</v>
      </c>
      <c r="O405" s="444"/>
    </row>
    <row r="406" spans="1:80" ht="12.75">
      <c r="A406" s="461">
        <v>134</v>
      </c>
      <c r="B406" s="460" t="s">
        <v>925</v>
      </c>
      <c r="C406" s="459" t="s">
        <v>926</v>
      </c>
      <c r="D406" s="458" t="s">
        <v>915</v>
      </c>
      <c r="E406" s="457">
        <v>0.4482</v>
      </c>
      <c r="F406" s="457"/>
      <c r="G406" s="456">
        <f>E406*F406</f>
        <v>0</v>
      </c>
      <c r="H406" s="455">
        <v>1</v>
      </c>
      <c r="I406" s="454">
        <f>E406*H406</f>
        <v>0.4482</v>
      </c>
      <c r="J406" s="570"/>
      <c r="K406" s="571">
        <f>E406*J406</f>
        <v>0</v>
      </c>
      <c r="L406" s="436"/>
      <c r="O406" s="444">
        <v>2</v>
      </c>
      <c r="AA406" s="434">
        <v>3</v>
      </c>
      <c r="AB406" s="434">
        <v>7</v>
      </c>
      <c r="AC406" s="434">
        <v>13485315</v>
      </c>
      <c r="AZ406" s="434">
        <v>2</v>
      </c>
      <c r="BA406" s="434">
        <f>IF(AZ406=1,G406,0)</f>
        <v>0</v>
      </c>
      <c r="BB406" s="434">
        <f>IF(AZ406=2,G406,0)</f>
        <v>0</v>
      </c>
      <c r="BC406" s="434">
        <f>IF(AZ406=3,G406,0)</f>
        <v>0</v>
      </c>
      <c r="BD406" s="434">
        <f>IF(AZ406=4,G406,0)</f>
        <v>0</v>
      </c>
      <c r="BE406" s="434">
        <f>IF(AZ406=5,G406,0)</f>
        <v>0</v>
      </c>
      <c r="CA406" s="444">
        <v>3</v>
      </c>
      <c r="CB406" s="444">
        <v>7</v>
      </c>
    </row>
    <row r="407" spans="1:15" ht="12.75">
      <c r="A407" s="478"/>
      <c r="B407" s="477"/>
      <c r="C407" s="1621" t="s">
        <v>927</v>
      </c>
      <c r="D407" s="1589"/>
      <c r="E407" s="476">
        <v>0.4482</v>
      </c>
      <c r="F407" s="475"/>
      <c r="G407" s="230"/>
      <c r="H407" s="474"/>
      <c r="I407" s="473"/>
      <c r="J407" s="569"/>
      <c r="K407" s="572"/>
      <c r="L407" s="436"/>
      <c r="M407" s="472" t="s">
        <v>927</v>
      </c>
      <c r="O407" s="444"/>
    </row>
    <row r="408" spans="1:80" ht="12.75">
      <c r="A408" s="461">
        <v>135</v>
      </c>
      <c r="B408" s="460" t="s">
        <v>263</v>
      </c>
      <c r="C408" s="459" t="s">
        <v>264</v>
      </c>
      <c r="D408" s="458" t="s">
        <v>9</v>
      </c>
      <c r="E408" s="457"/>
      <c r="F408" s="457"/>
      <c r="G408" s="456">
        <f>E408*F408</f>
        <v>0</v>
      </c>
      <c r="H408" s="455">
        <v>0</v>
      </c>
      <c r="I408" s="454">
        <f>E408*H408</f>
        <v>0</v>
      </c>
      <c r="J408" s="570"/>
      <c r="K408" s="571">
        <f>E408*J408</f>
        <v>0</v>
      </c>
      <c r="L408" s="436"/>
      <c r="O408" s="444">
        <v>2</v>
      </c>
      <c r="AA408" s="434">
        <v>7</v>
      </c>
      <c r="AB408" s="434">
        <v>1002</v>
      </c>
      <c r="AC408" s="434">
        <v>5</v>
      </c>
      <c r="AZ408" s="434">
        <v>2</v>
      </c>
      <c r="BA408" s="434">
        <f>IF(AZ408=1,G408,0)</f>
        <v>0</v>
      </c>
      <c r="BB408" s="434">
        <f>IF(AZ408=2,G408,0)</f>
        <v>0</v>
      </c>
      <c r="BC408" s="434">
        <f>IF(AZ408=3,G408,0)</f>
        <v>0</v>
      </c>
      <c r="BD408" s="434">
        <f>IF(AZ408=4,G408,0)</f>
        <v>0</v>
      </c>
      <c r="BE408" s="434">
        <f>IF(AZ408=5,G408,0)</f>
        <v>0</v>
      </c>
      <c r="CA408" s="444">
        <v>7</v>
      </c>
      <c r="CB408" s="444">
        <v>1002</v>
      </c>
    </row>
    <row r="409" spans="1:57" ht="12.75">
      <c r="A409" s="453"/>
      <c r="B409" s="452" t="s">
        <v>175</v>
      </c>
      <c r="C409" s="451" t="s">
        <v>265</v>
      </c>
      <c r="D409" s="450"/>
      <c r="E409" s="449"/>
      <c r="F409" s="448"/>
      <c r="G409" s="447">
        <f>SUM(G395:G408)</f>
        <v>0</v>
      </c>
      <c r="H409" s="446"/>
      <c r="I409" s="445">
        <f>SUM(I395:I408)</f>
        <v>1.49895</v>
      </c>
      <c r="J409" s="569"/>
      <c r="K409" s="576">
        <f>SUM(K395:K408)</f>
        <v>0</v>
      </c>
      <c r="L409" s="436"/>
      <c r="O409" s="444">
        <v>4</v>
      </c>
      <c r="BA409" s="443">
        <f>SUM(BA395:BA408)</f>
        <v>0</v>
      </c>
      <c r="BB409" s="443">
        <f>SUM(BB395:BB408)</f>
        <v>0</v>
      </c>
      <c r="BC409" s="443">
        <f>SUM(BC395:BC408)</f>
        <v>0</v>
      </c>
      <c r="BD409" s="443">
        <f>SUM(BD395:BD408)</f>
        <v>0</v>
      </c>
      <c r="BE409" s="443">
        <f>SUM(BE395:BE408)</f>
        <v>0</v>
      </c>
    </row>
    <row r="410" spans="1:15" ht="12.75">
      <c r="A410" s="471" t="s">
        <v>140</v>
      </c>
      <c r="B410" s="470" t="s">
        <v>928</v>
      </c>
      <c r="C410" s="469" t="s">
        <v>929</v>
      </c>
      <c r="D410" s="468"/>
      <c r="E410" s="467"/>
      <c r="F410" s="467"/>
      <c r="G410" s="466"/>
      <c r="H410" s="465"/>
      <c r="I410" s="464"/>
      <c r="J410" s="568"/>
      <c r="K410" s="569"/>
      <c r="L410" s="436"/>
      <c r="O410" s="444">
        <v>1</v>
      </c>
    </row>
    <row r="411" spans="1:80" ht="12.75">
      <c r="A411" s="461">
        <v>136</v>
      </c>
      <c r="B411" s="460" t="s">
        <v>930</v>
      </c>
      <c r="C411" s="459" t="s">
        <v>931</v>
      </c>
      <c r="D411" s="458" t="s">
        <v>231</v>
      </c>
      <c r="E411" s="457">
        <v>20.5</v>
      </c>
      <c r="F411" s="457"/>
      <c r="G411" s="456">
        <f>E411*F411</f>
        <v>0</v>
      </c>
      <c r="H411" s="455">
        <v>5E-05</v>
      </c>
      <c r="I411" s="454">
        <f>E411*H411</f>
        <v>0.001025</v>
      </c>
      <c r="J411" s="570">
        <v>0</v>
      </c>
      <c r="K411" s="571">
        <f>E411*J411</f>
        <v>0</v>
      </c>
      <c r="L411" s="436"/>
      <c r="O411" s="444">
        <v>2</v>
      </c>
      <c r="AA411" s="434">
        <v>1</v>
      </c>
      <c r="AB411" s="434">
        <v>0</v>
      </c>
      <c r="AC411" s="434">
        <v>0</v>
      </c>
      <c r="AZ411" s="434">
        <v>2</v>
      </c>
      <c r="BA411" s="434">
        <f>IF(AZ411=1,G411,0)</f>
        <v>0</v>
      </c>
      <c r="BB411" s="434">
        <f>IF(AZ411=2,G411,0)</f>
        <v>0</v>
      </c>
      <c r="BC411" s="434">
        <f>IF(AZ411=3,G411,0)</f>
        <v>0</v>
      </c>
      <c r="BD411" s="434">
        <f>IF(AZ411=4,G411,0)</f>
        <v>0</v>
      </c>
      <c r="BE411" s="434">
        <f>IF(AZ411=5,G411,0)</f>
        <v>0</v>
      </c>
      <c r="CA411" s="444">
        <v>1</v>
      </c>
      <c r="CB411" s="444">
        <v>0</v>
      </c>
    </row>
    <row r="412" spans="1:15" ht="12.75">
      <c r="A412" s="478"/>
      <c r="B412" s="477"/>
      <c r="C412" s="1621" t="s">
        <v>932</v>
      </c>
      <c r="D412" s="1589"/>
      <c r="E412" s="476">
        <v>14.1</v>
      </c>
      <c r="F412" s="475"/>
      <c r="G412" s="230"/>
      <c r="H412" s="474"/>
      <c r="I412" s="473"/>
      <c r="J412" s="569"/>
      <c r="K412" s="572"/>
      <c r="L412" s="436"/>
      <c r="M412" s="472" t="s">
        <v>932</v>
      </c>
      <c r="O412" s="444"/>
    </row>
    <row r="413" spans="1:15" ht="12.75">
      <c r="A413" s="478"/>
      <c r="B413" s="477"/>
      <c r="C413" s="1621" t="s">
        <v>933</v>
      </c>
      <c r="D413" s="1589"/>
      <c r="E413" s="476">
        <v>3.2</v>
      </c>
      <c r="F413" s="475"/>
      <c r="G413" s="230"/>
      <c r="H413" s="474"/>
      <c r="I413" s="473"/>
      <c r="J413" s="569"/>
      <c r="K413" s="572"/>
      <c r="L413" s="436"/>
      <c r="M413" s="472" t="s">
        <v>933</v>
      </c>
      <c r="O413" s="444"/>
    </row>
    <row r="414" spans="1:15" ht="12.75">
      <c r="A414" s="478"/>
      <c r="B414" s="477"/>
      <c r="C414" s="1621" t="s">
        <v>934</v>
      </c>
      <c r="D414" s="1589"/>
      <c r="E414" s="476">
        <v>3.2</v>
      </c>
      <c r="F414" s="475"/>
      <c r="G414" s="230"/>
      <c r="H414" s="474"/>
      <c r="I414" s="473"/>
      <c r="J414" s="569"/>
      <c r="K414" s="572"/>
      <c r="L414" s="436"/>
      <c r="M414" s="472" t="s">
        <v>934</v>
      </c>
      <c r="O414" s="444"/>
    </row>
    <row r="415" spans="1:80" ht="12.75">
      <c r="A415" s="461">
        <v>137</v>
      </c>
      <c r="B415" s="460" t="s">
        <v>935</v>
      </c>
      <c r="C415" s="459" t="s">
        <v>936</v>
      </c>
      <c r="D415" s="458" t="s">
        <v>231</v>
      </c>
      <c r="E415" s="457">
        <v>25.2</v>
      </c>
      <c r="F415" s="457"/>
      <c r="G415" s="456">
        <f>E415*F415</f>
        <v>0</v>
      </c>
      <c r="H415" s="455">
        <v>8E-05</v>
      </c>
      <c r="I415" s="454">
        <f>E415*H415</f>
        <v>0.002016</v>
      </c>
      <c r="J415" s="570">
        <v>0</v>
      </c>
      <c r="K415" s="571">
        <f>E415*J415</f>
        <v>0</v>
      </c>
      <c r="L415" s="436"/>
      <c r="O415" s="444">
        <v>2</v>
      </c>
      <c r="AA415" s="434">
        <v>1</v>
      </c>
      <c r="AB415" s="434">
        <v>0</v>
      </c>
      <c r="AC415" s="434">
        <v>0</v>
      </c>
      <c r="AZ415" s="434">
        <v>2</v>
      </c>
      <c r="BA415" s="434">
        <f>IF(AZ415=1,G415,0)</f>
        <v>0</v>
      </c>
      <c r="BB415" s="434">
        <f>IF(AZ415=2,G415,0)</f>
        <v>0</v>
      </c>
      <c r="BC415" s="434">
        <f>IF(AZ415=3,G415,0)</f>
        <v>0</v>
      </c>
      <c r="BD415" s="434">
        <f>IF(AZ415=4,G415,0)</f>
        <v>0</v>
      </c>
      <c r="BE415" s="434">
        <f>IF(AZ415=5,G415,0)</f>
        <v>0</v>
      </c>
      <c r="CA415" s="444">
        <v>1</v>
      </c>
      <c r="CB415" s="444">
        <v>0</v>
      </c>
    </row>
    <row r="416" spans="1:15" ht="12.75">
      <c r="A416" s="478"/>
      <c r="B416" s="477"/>
      <c r="C416" s="1621" t="s">
        <v>937</v>
      </c>
      <c r="D416" s="1589"/>
      <c r="E416" s="476">
        <v>5.1</v>
      </c>
      <c r="F416" s="475"/>
      <c r="G416" s="230"/>
      <c r="H416" s="474"/>
      <c r="I416" s="473"/>
      <c r="J416" s="569"/>
      <c r="K416" s="572"/>
      <c r="L416" s="436"/>
      <c r="M416" s="472" t="s">
        <v>937</v>
      </c>
      <c r="O416" s="444"/>
    </row>
    <row r="417" spans="1:15" ht="12.75">
      <c r="A417" s="478"/>
      <c r="B417" s="477"/>
      <c r="C417" s="1621" t="s">
        <v>938</v>
      </c>
      <c r="D417" s="1589"/>
      <c r="E417" s="476">
        <v>5.1</v>
      </c>
      <c r="F417" s="475"/>
      <c r="G417" s="230"/>
      <c r="H417" s="474"/>
      <c r="I417" s="473"/>
      <c r="J417" s="569"/>
      <c r="K417" s="572"/>
      <c r="L417" s="436"/>
      <c r="M417" s="472" t="s">
        <v>938</v>
      </c>
      <c r="O417" s="444"/>
    </row>
    <row r="418" spans="1:15" ht="12.75">
      <c r="A418" s="478"/>
      <c r="B418" s="477"/>
      <c r="C418" s="1621" t="s">
        <v>939</v>
      </c>
      <c r="D418" s="1589"/>
      <c r="E418" s="476">
        <v>5</v>
      </c>
      <c r="F418" s="475"/>
      <c r="G418" s="230"/>
      <c r="H418" s="474"/>
      <c r="I418" s="473"/>
      <c r="J418" s="569"/>
      <c r="K418" s="572"/>
      <c r="L418" s="436"/>
      <c r="M418" s="472" t="s">
        <v>939</v>
      </c>
      <c r="O418" s="444"/>
    </row>
    <row r="419" spans="1:15" ht="12.75">
      <c r="A419" s="478"/>
      <c r="B419" s="477"/>
      <c r="C419" s="1621" t="s">
        <v>940</v>
      </c>
      <c r="D419" s="1589"/>
      <c r="E419" s="476">
        <v>5</v>
      </c>
      <c r="F419" s="475"/>
      <c r="G419" s="230"/>
      <c r="H419" s="474"/>
      <c r="I419" s="473"/>
      <c r="J419" s="569"/>
      <c r="K419" s="572"/>
      <c r="L419" s="436"/>
      <c r="M419" s="472" t="s">
        <v>940</v>
      </c>
      <c r="O419" s="444"/>
    </row>
    <row r="420" spans="1:15" ht="12.75">
      <c r="A420" s="478"/>
      <c r="B420" s="477"/>
      <c r="C420" s="1621" t="s">
        <v>941</v>
      </c>
      <c r="D420" s="1589"/>
      <c r="E420" s="476">
        <v>5</v>
      </c>
      <c r="F420" s="475"/>
      <c r="G420" s="230"/>
      <c r="H420" s="474"/>
      <c r="I420" s="473"/>
      <c r="J420" s="569"/>
      <c r="K420" s="572"/>
      <c r="L420" s="436"/>
      <c r="M420" s="472" t="s">
        <v>941</v>
      </c>
      <c r="O420" s="444"/>
    </row>
    <row r="421" spans="1:80" ht="12.75">
      <c r="A421" s="461">
        <v>138</v>
      </c>
      <c r="B421" s="460" t="s">
        <v>942</v>
      </c>
      <c r="C421" s="459" t="s">
        <v>943</v>
      </c>
      <c r="D421" s="458" t="s">
        <v>757</v>
      </c>
      <c r="E421" s="457">
        <v>3</v>
      </c>
      <c r="F421" s="457"/>
      <c r="G421" s="456">
        <f>E421*F421</f>
        <v>0</v>
      </c>
      <c r="H421" s="455">
        <v>0</v>
      </c>
      <c r="I421" s="454">
        <f>E421*H421</f>
        <v>0</v>
      </c>
      <c r="J421" s="570"/>
      <c r="K421" s="571">
        <f>E421*J421</f>
        <v>0</v>
      </c>
      <c r="L421" s="436"/>
      <c r="O421" s="444">
        <v>2</v>
      </c>
      <c r="AA421" s="434">
        <v>3</v>
      </c>
      <c r="AB421" s="434">
        <v>7</v>
      </c>
      <c r="AC421" s="434">
        <v>611101115</v>
      </c>
      <c r="AZ421" s="434">
        <v>2</v>
      </c>
      <c r="BA421" s="434">
        <f>IF(AZ421=1,G421,0)</f>
        <v>0</v>
      </c>
      <c r="BB421" s="434">
        <f>IF(AZ421=2,G421,0)</f>
        <v>0</v>
      </c>
      <c r="BC421" s="434">
        <f>IF(AZ421=3,G421,0)</f>
        <v>0</v>
      </c>
      <c r="BD421" s="434">
        <f>IF(AZ421=4,G421,0)</f>
        <v>0</v>
      </c>
      <c r="BE421" s="434">
        <f>IF(AZ421=5,G421,0)</f>
        <v>0</v>
      </c>
      <c r="CA421" s="444">
        <v>3</v>
      </c>
      <c r="CB421" s="444">
        <v>7</v>
      </c>
    </row>
    <row r="422" spans="1:15" ht="12.75">
      <c r="A422" s="478"/>
      <c r="B422" s="477"/>
      <c r="C422" s="1621" t="s">
        <v>944</v>
      </c>
      <c r="D422" s="1589"/>
      <c r="E422" s="476">
        <v>1</v>
      </c>
      <c r="F422" s="475"/>
      <c r="G422" s="230"/>
      <c r="H422" s="474"/>
      <c r="I422" s="473"/>
      <c r="J422" s="569"/>
      <c r="K422" s="572"/>
      <c r="L422" s="436"/>
      <c r="M422" s="472" t="s">
        <v>944</v>
      </c>
      <c r="O422" s="444"/>
    </row>
    <row r="423" spans="1:15" ht="12.75">
      <c r="A423" s="478"/>
      <c r="B423" s="477"/>
      <c r="C423" s="1621" t="s">
        <v>733</v>
      </c>
      <c r="D423" s="1589"/>
      <c r="E423" s="476">
        <v>1</v>
      </c>
      <c r="F423" s="475"/>
      <c r="G423" s="230"/>
      <c r="H423" s="474"/>
      <c r="I423" s="473"/>
      <c r="J423" s="569"/>
      <c r="K423" s="572"/>
      <c r="L423" s="436"/>
      <c r="M423" s="472" t="s">
        <v>733</v>
      </c>
      <c r="O423" s="444"/>
    </row>
    <row r="424" spans="1:15" ht="12.75">
      <c r="A424" s="478"/>
      <c r="B424" s="477"/>
      <c r="C424" s="1621" t="s">
        <v>734</v>
      </c>
      <c r="D424" s="1589"/>
      <c r="E424" s="476">
        <v>1</v>
      </c>
      <c r="F424" s="475"/>
      <c r="G424" s="230"/>
      <c r="H424" s="474"/>
      <c r="I424" s="473"/>
      <c r="J424" s="569"/>
      <c r="K424" s="572"/>
      <c r="L424" s="436"/>
      <c r="M424" s="472" t="s">
        <v>734</v>
      </c>
      <c r="O424" s="444"/>
    </row>
    <row r="425" spans="1:80" ht="12.75">
      <c r="A425" s="461">
        <v>139</v>
      </c>
      <c r="B425" s="460" t="s">
        <v>945</v>
      </c>
      <c r="C425" s="459" t="s">
        <v>946</v>
      </c>
      <c r="D425" s="458" t="s">
        <v>757</v>
      </c>
      <c r="E425" s="457">
        <v>2</v>
      </c>
      <c r="F425" s="457"/>
      <c r="G425" s="456">
        <f>E425*F425</f>
        <v>0</v>
      </c>
      <c r="H425" s="455">
        <v>0</v>
      </c>
      <c r="I425" s="454">
        <f>E425*H425</f>
        <v>0</v>
      </c>
      <c r="J425" s="570"/>
      <c r="K425" s="571">
        <f>E425*J425</f>
        <v>0</v>
      </c>
      <c r="L425" s="436"/>
      <c r="O425" s="444">
        <v>2</v>
      </c>
      <c r="AA425" s="434">
        <v>3</v>
      </c>
      <c r="AB425" s="434">
        <v>7</v>
      </c>
      <c r="AC425" s="434">
        <v>61110116</v>
      </c>
      <c r="AZ425" s="434">
        <v>2</v>
      </c>
      <c r="BA425" s="434">
        <f>IF(AZ425=1,G425,0)</f>
        <v>0</v>
      </c>
      <c r="BB425" s="434">
        <f>IF(AZ425=2,G425,0)</f>
        <v>0</v>
      </c>
      <c r="BC425" s="434">
        <f>IF(AZ425=3,G425,0)</f>
        <v>0</v>
      </c>
      <c r="BD425" s="434">
        <f>IF(AZ425=4,G425,0)</f>
        <v>0</v>
      </c>
      <c r="BE425" s="434">
        <f>IF(AZ425=5,G425,0)</f>
        <v>0</v>
      </c>
      <c r="CA425" s="444">
        <v>3</v>
      </c>
      <c r="CB425" s="444">
        <v>7</v>
      </c>
    </row>
    <row r="426" spans="1:15" ht="12.75">
      <c r="A426" s="478"/>
      <c r="B426" s="477"/>
      <c r="C426" s="1621" t="s">
        <v>947</v>
      </c>
      <c r="D426" s="1589"/>
      <c r="E426" s="476">
        <v>1</v>
      </c>
      <c r="F426" s="475"/>
      <c r="G426" s="230"/>
      <c r="H426" s="474"/>
      <c r="I426" s="473"/>
      <c r="J426" s="569"/>
      <c r="K426" s="572"/>
      <c r="L426" s="436"/>
      <c r="M426" s="472" t="s">
        <v>947</v>
      </c>
      <c r="O426" s="444"/>
    </row>
    <row r="427" spans="1:15" ht="12.75">
      <c r="A427" s="478"/>
      <c r="B427" s="477"/>
      <c r="C427" s="1621" t="s">
        <v>735</v>
      </c>
      <c r="D427" s="1589"/>
      <c r="E427" s="476">
        <v>1</v>
      </c>
      <c r="F427" s="475"/>
      <c r="G427" s="230"/>
      <c r="H427" s="474"/>
      <c r="I427" s="473"/>
      <c r="J427" s="568"/>
      <c r="K427" s="572"/>
      <c r="L427" s="436"/>
      <c r="M427" s="472" t="s">
        <v>735</v>
      </c>
      <c r="O427" s="444"/>
    </row>
    <row r="428" spans="1:80" ht="12.75">
      <c r="A428" s="461">
        <v>140</v>
      </c>
      <c r="B428" s="460" t="s">
        <v>948</v>
      </c>
      <c r="C428" s="459" t="s">
        <v>949</v>
      </c>
      <c r="D428" s="458" t="s">
        <v>145</v>
      </c>
      <c r="E428" s="457">
        <v>9.69</v>
      </c>
      <c r="F428" s="457"/>
      <c r="G428" s="456">
        <f>E428*F428</f>
        <v>0</v>
      </c>
      <c r="H428" s="455">
        <v>0</v>
      </c>
      <c r="I428" s="454">
        <f>E428*H428</f>
        <v>0</v>
      </c>
      <c r="J428" s="570"/>
      <c r="K428" s="571">
        <f>E428*J428</f>
        <v>0</v>
      </c>
      <c r="L428" s="436"/>
      <c r="O428" s="444">
        <v>2</v>
      </c>
      <c r="AA428" s="434">
        <v>3</v>
      </c>
      <c r="AB428" s="434">
        <v>7</v>
      </c>
      <c r="AC428" s="434">
        <v>611101210</v>
      </c>
      <c r="AZ428" s="434">
        <v>2</v>
      </c>
      <c r="BA428" s="434">
        <f>IF(AZ428=1,G428,0)</f>
        <v>0</v>
      </c>
      <c r="BB428" s="434">
        <f>IF(AZ428=2,G428,0)</f>
        <v>0</v>
      </c>
      <c r="BC428" s="434">
        <f>IF(AZ428=3,G428,0)</f>
        <v>0</v>
      </c>
      <c r="BD428" s="434">
        <f>IF(AZ428=4,G428,0)</f>
        <v>0</v>
      </c>
      <c r="BE428" s="434">
        <f>IF(AZ428=5,G428,0)</f>
        <v>0</v>
      </c>
      <c r="CA428" s="444">
        <v>3</v>
      </c>
      <c r="CB428" s="444">
        <v>7</v>
      </c>
    </row>
    <row r="429" spans="1:15" ht="12.75">
      <c r="A429" s="478"/>
      <c r="B429" s="477"/>
      <c r="C429" s="1621" t="s">
        <v>950</v>
      </c>
      <c r="D429" s="1589"/>
      <c r="E429" s="476">
        <v>9.69</v>
      </c>
      <c r="F429" s="475"/>
      <c r="G429" s="230"/>
      <c r="H429" s="474"/>
      <c r="I429" s="473"/>
      <c r="J429" s="569"/>
      <c r="K429" s="572"/>
      <c r="L429" s="436"/>
      <c r="M429" s="472" t="s">
        <v>950</v>
      </c>
      <c r="O429" s="444"/>
    </row>
    <row r="430" spans="1:80" ht="12.75">
      <c r="A430" s="461">
        <v>141</v>
      </c>
      <c r="B430" s="460" t="s">
        <v>951</v>
      </c>
      <c r="C430" s="459" t="s">
        <v>952</v>
      </c>
      <c r="D430" s="458" t="s">
        <v>145</v>
      </c>
      <c r="E430" s="457">
        <v>1.2</v>
      </c>
      <c r="F430" s="457"/>
      <c r="G430" s="456">
        <f>E430*F430</f>
        <v>0</v>
      </c>
      <c r="H430" s="455">
        <v>0</v>
      </c>
      <c r="I430" s="454">
        <f>E430*H430</f>
        <v>0</v>
      </c>
      <c r="J430" s="570"/>
      <c r="K430" s="571">
        <f>E430*J430</f>
        <v>0</v>
      </c>
      <c r="L430" s="436"/>
      <c r="O430" s="444">
        <v>2</v>
      </c>
      <c r="AA430" s="434">
        <v>3</v>
      </c>
      <c r="AB430" s="434">
        <v>7</v>
      </c>
      <c r="AC430" s="434">
        <v>611101211</v>
      </c>
      <c r="AZ430" s="434">
        <v>2</v>
      </c>
      <c r="BA430" s="434">
        <f>IF(AZ430=1,G430,0)</f>
        <v>0</v>
      </c>
      <c r="BB430" s="434">
        <f>IF(AZ430=2,G430,0)</f>
        <v>0</v>
      </c>
      <c r="BC430" s="434">
        <f>IF(AZ430=3,G430,0)</f>
        <v>0</v>
      </c>
      <c r="BD430" s="434">
        <f>IF(AZ430=4,G430,0)</f>
        <v>0</v>
      </c>
      <c r="BE430" s="434">
        <f>IF(AZ430=5,G430,0)</f>
        <v>0</v>
      </c>
      <c r="CA430" s="444">
        <v>3</v>
      </c>
      <c r="CB430" s="444">
        <v>7</v>
      </c>
    </row>
    <row r="431" spans="1:15" ht="12.75">
      <c r="A431" s="478"/>
      <c r="B431" s="477"/>
      <c r="C431" s="1621" t="s">
        <v>953</v>
      </c>
      <c r="D431" s="1589"/>
      <c r="E431" s="476">
        <v>0.6</v>
      </c>
      <c r="F431" s="475"/>
      <c r="G431" s="230"/>
      <c r="H431" s="474"/>
      <c r="I431" s="473"/>
      <c r="J431" s="569"/>
      <c r="K431" s="572"/>
      <c r="L431" s="436"/>
      <c r="M431" s="472" t="s">
        <v>953</v>
      </c>
      <c r="O431" s="444"/>
    </row>
    <row r="432" spans="1:15" ht="12.75">
      <c r="A432" s="478"/>
      <c r="B432" s="477"/>
      <c r="C432" s="1621" t="s">
        <v>954</v>
      </c>
      <c r="D432" s="1589"/>
      <c r="E432" s="476">
        <v>0.6</v>
      </c>
      <c r="F432" s="475"/>
      <c r="G432" s="230"/>
      <c r="H432" s="474"/>
      <c r="I432" s="473"/>
      <c r="J432" s="568"/>
      <c r="K432" s="572"/>
      <c r="L432" s="436"/>
      <c r="M432" s="472" t="s">
        <v>954</v>
      </c>
      <c r="O432" s="444"/>
    </row>
    <row r="433" spans="1:57" ht="12.75">
      <c r="A433" s="453"/>
      <c r="B433" s="452" t="s">
        <v>175</v>
      </c>
      <c r="C433" s="451" t="s">
        <v>955</v>
      </c>
      <c r="D433" s="450"/>
      <c r="E433" s="449"/>
      <c r="F433" s="448"/>
      <c r="G433" s="447">
        <f>SUM(G410:G432)</f>
        <v>0</v>
      </c>
      <c r="H433" s="446"/>
      <c r="I433" s="445">
        <f>SUM(I410:I432)</f>
        <v>0.0030410000000000003</v>
      </c>
      <c r="J433" s="568"/>
      <c r="K433" s="576">
        <f>SUM(K410:K432)</f>
        <v>0</v>
      </c>
      <c r="L433" s="436"/>
      <c r="O433" s="444">
        <v>4</v>
      </c>
      <c r="BA433" s="443">
        <f>SUM(BA410:BA432)</f>
        <v>0</v>
      </c>
      <c r="BB433" s="443">
        <f>SUM(BB410:BB432)</f>
        <v>0</v>
      </c>
      <c r="BC433" s="443">
        <f>SUM(BC410:BC432)</f>
        <v>0</v>
      </c>
      <c r="BD433" s="443">
        <f>SUM(BD410:BD432)</f>
        <v>0</v>
      </c>
      <c r="BE433" s="443">
        <f>SUM(BE410:BE432)</f>
        <v>0</v>
      </c>
    </row>
    <row r="434" spans="1:15" ht="12.75">
      <c r="A434" s="471" t="s">
        <v>140</v>
      </c>
      <c r="B434" s="470" t="s">
        <v>956</v>
      </c>
      <c r="C434" s="469" t="s">
        <v>957</v>
      </c>
      <c r="D434" s="468"/>
      <c r="E434" s="467"/>
      <c r="F434" s="467"/>
      <c r="G434" s="466"/>
      <c r="H434" s="465"/>
      <c r="I434" s="464"/>
      <c r="J434" s="568"/>
      <c r="K434" s="569"/>
      <c r="L434" s="436"/>
      <c r="O434" s="444">
        <v>1</v>
      </c>
    </row>
    <row r="435" spans="1:80" ht="12.75">
      <c r="A435" s="461">
        <v>142</v>
      </c>
      <c r="B435" s="460" t="s">
        <v>958</v>
      </c>
      <c r="C435" s="459" t="s">
        <v>959</v>
      </c>
      <c r="D435" s="458" t="s">
        <v>145</v>
      </c>
      <c r="E435" s="457">
        <v>44.5525</v>
      </c>
      <c r="F435" s="457"/>
      <c r="G435" s="456">
        <f>E435*F435</f>
        <v>0</v>
      </c>
      <c r="H435" s="455">
        <v>0.00021</v>
      </c>
      <c r="I435" s="454">
        <f>E435*H435</f>
        <v>0.009356025</v>
      </c>
      <c r="J435" s="570">
        <v>0</v>
      </c>
      <c r="K435" s="571">
        <f>E435*J435</f>
        <v>0</v>
      </c>
      <c r="L435" s="436"/>
      <c r="O435" s="444">
        <v>2</v>
      </c>
      <c r="AA435" s="434">
        <v>1</v>
      </c>
      <c r="AB435" s="434">
        <v>7</v>
      </c>
      <c r="AC435" s="434">
        <v>7</v>
      </c>
      <c r="AZ435" s="434">
        <v>2</v>
      </c>
      <c r="BA435" s="434">
        <f>IF(AZ435=1,G435,0)</f>
        <v>0</v>
      </c>
      <c r="BB435" s="434">
        <f>IF(AZ435=2,G435,0)</f>
        <v>0</v>
      </c>
      <c r="BC435" s="434">
        <f>IF(AZ435=3,G435,0)</f>
        <v>0</v>
      </c>
      <c r="BD435" s="434">
        <f>IF(AZ435=4,G435,0)</f>
        <v>0</v>
      </c>
      <c r="BE435" s="434">
        <f>IF(AZ435=5,G435,0)</f>
        <v>0</v>
      </c>
      <c r="CA435" s="444">
        <v>1</v>
      </c>
      <c r="CB435" s="444">
        <v>7</v>
      </c>
    </row>
    <row r="436" spans="1:15" ht="12.75">
      <c r="A436" s="478"/>
      <c r="B436" s="477"/>
      <c r="C436" s="1621" t="s">
        <v>683</v>
      </c>
      <c r="D436" s="1589"/>
      <c r="E436" s="476">
        <v>0</v>
      </c>
      <c r="F436" s="475"/>
      <c r="G436" s="230"/>
      <c r="H436" s="474"/>
      <c r="I436" s="473"/>
      <c r="J436" s="569"/>
      <c r="K436" s="572"/>
      <c r="L436" s="436"/>
      <c r="M436" s="472" t="s">
        <v>683</v>
      </c>
      <c r="O436" s="444"/>
    </row>
    <row r="437" spans="1:15" ht="12.75">
      <c r="A437" s="478"/>
      <c r="B437" s="477"/>
      <c r="C437" s="1621" t="s">
        <v>570</v>
      </c>
      <c r="D437" s="1589"/>
      <c r="E437" s="476">
        <v>19.72</v>
      </c>
      <c r="F437" s="475"/>
      <c r="G437" s="230"/>
      <c r="H437" s="474"/>
      <c r="I437" s="473"/>
      <c r="J437" s="569"/>
      <c r="K437" s="572"/>
      <c r="L437" s="436"/>
      <c r="M437" s="472" t="s">
        <v>570</v>
      </c>
      <c r="O437" s="444"/>
    </row>
    <row r="438" spans="1:15" ht="12.75">
      <c r="A438" s="478"/>
      <c r="B438" s="477"/>
      <c r="C438" s="1621" t="s">
        <v>571</v>
      </c>
      <c r="D438" s="1589"/>
      <c r="E438" s="476">
        <v>3.9775</v>
      </c>
      <c r="F438" s="475"/>
      <c r="G438" s="230"/>
      <c r="H438" s="474"/>
      <c r="I438" s="473"/>
      <c r="J438" s="569"/>
      <c r="K438" s="572"/>
      <c r="L438" s="436"/>
      <c r="M438" s="472" t="s">
        <v>571</v>
      </c>
      <c r="O438" s="444"/>
    </row>
    <row r="439" spans="1:15" ht="12.75">
      <c r="A439" s="478"/>
      <c r="B439" s="477"/>
      <c r="C439" s="1621" t="s">
        <v>572</v>
      </c>
      <c r="D439" s="1589"/>
      <c r="E439" s="476">
        <v>2.15</v>
      </c>
      <c r="F439" s="475"/>
      <c r="G439" s="230"/>
      <c r="H439" s="474"/>
      <c r="I439" s="473"/>
      <c r="J439" s="569"/>
      <c r="K439" s="572"/>
      <c r="L439" s="436"/>
      <c r="M439" s="472" t="s">
        <v>572</v>
      </c>
      <c r="O439" s="444"/>
    </row>
    <row r="440" spans="1:15" ht="12.75">
      <c r="A440" s="478"/>
      <c r="B440" s="477"/>
      <c r="C440" s="1621" t="s">
        <v>573</v>
      </c>
      <c r="D440" s="1589"/>
      <c r="E440" s="476">
        <v>3.7625</v>
      </c>
      <c r="F440" s="475"/>
      <c r="G440" s="230"/>
      <c r="H440" s="474"/>
      <c r="I440" s="473"/>
      <c r="J440" s="569"/>
      <c r="K440" s="572"/>
      <c r="L440" s="436"/>
      <c r="M440" s="472" t="s">
        <v>573</v>
      </c>
      <c r="O440" s="444"/>
    </row>
    <row r="441" spans="1:15" ht="12.75">
      <c r="A441" s="478"/>
      <c r="B441" s="477"/>
      <c r="C441" s="1621" t="s">
        <v>574</v>
      </c>
      <c r="D441" s="1589"/>
      <c r="E441" s="476">
        <v>3.7625</v>
      </c>
      <c r="F441" s="475"/>
      <c r="G441" s="230"/>
      <c r="H441" s="474"/>
      <c r="I441" s="473"/>
      <c r="J441" s="569"/>
      <c r="K441" s="572"/>
      <c r="L441" s="436"/>
      <c r="M441" s="472" t="s">
        <v>574</v>
      </c>
      <c r="O441" s="444"/>
    </row>
    <row r="442" spans="1:15" ht="12.75">
      <c r="A442" s="478"/>
      <c r="B442" s="477"/>
      <c r="C442" s="1621" t="s">
        <v>960</v>
      </c>
      <c r="D442" s="1589"/>
      <c r="E442" s="476">
        <v>11.18</v>
      </c>
      <c r="F442" s="475"/>
      <c r="G442" s="230"/>
      <c r="H442" s="474"/>
      <c r="I442" s="473"/>
      <c r="J442" s="568"/>
      <c r="K442" s="572"/>
      <c r="L442" s="436"/>
      <c r="M442" s="472" t="s">
        <v>960</v>
      </c>
      <c r="O442" s="444"/>
    </row>
    <row r="443" spans="1:80" ht="12.75">
      <c r="A443" s="461">
        <v>143</v>
      </c>
      <c r="B443" s="460" t="s">
        <v>961</v>
      </c>
      <c r="C443" s="459" t="s">
        <v>962</v>
      </c>
      <c r="D443" s="458" t="s">
        <v>231</v>
      </c>
      <c r="E443" s="457">
        <v>14.7</v>
      </c>
      <c r="F443" s="457"/>
      <c r="G443" s="456">
        <f>E443*F443</f>
        <v>0</v>
      </c>
      <c r="H443" s="455">
        <v>0.00056</v>
      </c>
      <c r="I443" s="454">
        <f>E443*H443</f>
        <v>0.008232</v>
      </c>
      <c r="J443" s="570">
        <v>0</v>
      </c>
      <c r="K443" s="571">
        <f>E443*J443</f>
        <v>0</v>
      </c>
      <c r="L443" s="436"/>
      <c r="O443" s="444">
        <v>2</v>
      </c>
      <c r="AA443" s="434">
        <v>1</v>
      </c>
      <c r="AB443" s="434">
        <v>7</v>
      </c>
      <c r="AC443" s="434">
        <v>7</v>
      </c>
      <c r="AZ443" s="434">
        <v>2</v>
      </c>
      <c r="BA443" s="434">
        <f>IF(AZ443=1,G443,0)</f>
        <v>0</v>
      </c>
      <c r="BB443" s="434">
        <f>IF(AZ443=2,G443,0)</f>
        <v>0</v>
      </c>
      <c r="BC443" s="434">
        <f>IF(AZ443=3,G443,0)</f>
        <v>0</v>
      </c>
      <c r="BD443" s="434">
        <f>IF(AZ443=4,G443,0)</f>
        <v>0</v>
      </c>
      <c r="BE443" s="434">
        <f>IF(AZ443=5,G443,0)</f>
        <v>0</v>
      </c>
      <c r="CA443" s="444">
        <v>1</v>
      </c>
      <c r="CB443" s="444">
        <v>7</v>
      </c>
    </row>
    <row r="444" spans="1:15" ht="12.75">
      <c r="A444" s="478"/>
      <c r="B444" s="477"/>
      <c r="C444" s="1621" t="s">
        <v>963</v>
      </c>
      <c r="D444" s="1589"/>
      <c r="E444" s="476">
        <v>14.7</v>
      </c>
      <c r="F444" s="475"/>
      <c r="G444" s="230"/>
      <c r="H444" s="474"/>
      <c r="I444" s="473"/>
      <c r="J444" s="569"/>
      <c r="K444" s="572"/>
      <c r="L444" s="436"/>
      <c r="M444" s="472" t="s">
        <v>963</v>
      </c>
      <c r="O444" s="444"/>
    </row>
    <row r="445" spans="1:80" ht="20.4">
      <c r="A445" s="461">
        <v>144</v>
      </c>
      <c r="B445" s="460" t="s">
        <v>964</v>
      </c>
      <c r="C445" s="459" t="s">
        <v>965</v>
      </c>
      <c r="D445" s="458" t="s">
        <v>145</v>
      </c>
      <c r="E445" s="457">
        <v>44.5525</v>
      </c>
      <c r="F445" s="457"/>
      <c r="G445" s="456">
        <f>E445*F445</f>
        <v>0</v>
      </c>
      <c r="H445" s="455">
        <v>0.00354</v>
      </c>
      <c r="I445" s="578">
        <f>E445*H445</f>
        <v>0.15771585000000002</v>
      </c>
      <c r="J445" s="579">
        <v>0</v>
      </c>
      <c r="K445" s="571">
        <f>E445*J445</f>
        <v>0</v>
      </c>
      <c r="L445" s="436"/>
      <c r="O445" s="444">
        <v>2</v>
      </c>
      <c r="AA445" s="434">
        <v>1</v>
      </c>
      <c r="AB445" s="434">
        <v>7</v>
      </c>
      <c r="AC445" s="434">
        <v>7</v>
      </c>
      <c r="AZ445" s="434">
        <v>2</v>
      </c>
      <c r="BA445" s="434">
        <f>IF(AZ445=1,G445,0)</f>
        <v>0</v>
      </c>
      <c r="BB445" s="434">
        <f>IF(AZ445=2,G445,0)</f>
        <v>0</v>
      </c>
      <c r="BC445" s="434">
        <f>IF(AZ445=3,G445,0)</f>
        <v>0</v>
      </c>
      <c r="BD445" s="434">
        <f>IF(AZ445=4,G445,0)</f>
        <v>0</v>
      </c>
      <c r="BE445" s="434">
        <f>IF(AZ445=5,G445,0)</f>
        <v>0</v>
      </c>
      <c r="CA445" s="444">
        <v>1</v>
      </c>
      <c r="CB445" s="444">
        <v>7</v>
      </c>
    </row>
    <row r="446" spans="1:15" ht="12.75">
      <c r="A446" s="478"/>
      <c r="B446" s="477"/>
      <c r="C446" s="1621" t="s">
        <v>683</v>
      </c>
      <c r="D446" s="1589"/>
      <c r="E446" s="476">
        <v>0</v>
      </c>
      <c r="F446" s="475"/>
      <c r="G446" s="230"/>
      <c r="H446" s="474"/>
      <c r="I446" s="473"/>
      <c r="J446" s="569"/>
      <c r="K446" s="572"/>
      <c r="L446" s="436"/>
      <c r="M446" s="472" t="s">
        <v>683</v>
      </c>
      <c r="O446" s="444"/>
    </row>
    <row r="447" spans="1:15" ht="12.75">
      <c r="A447" s="478"/>
      <c r="B447" s="477"/>
      <c r="C447" s="1621" t="s">
        <v>570</v>
      </c>
      <c r="D447" s="1589"/>
      <c r="E447" s="476">
        <v>19.72</v>
      </c>
      <c r="F447" s="475"/>
      <c r="G447" s="230"/>
      <c r="H447" s="474"/>
      <c r="I447" s="473"/>
      <c r="J447" s="569"/>
      <c r="K447" s="572"/>
      <c r="L447" s="436"/>
      <c r="M447" s="472" t="s">
        <v>570</v>
      </c>
      <c r="O447" s="444"/>
    </row>
    <row r="448" spans="1:15" ht="12.75">
      <c r="A448" s="478"/>
      <c r="B448" s="477"/>
      <c r="C448" s="1621" t="s">
        <v>571</v>
      </c>
      <c r="D448" s="1589"/>
      <c r="E448" s="476">
        <v>3.9775</v>
      </c>
      <c r="F448" s="475"/>
      <c r="G448" s="230"/>
      <c r="H448" s="474"/>
      <c r="I448" s="473"/>
      <c r="J448" s="569"/>
      <c r="K448" s="572"/>
      <c r="L448" s="436"/>
      <c r="M448" s="472" t="s">
        <v>571</v>
      </c>
      <c r="O448" s="444"/>
    </row>
    <row r="449" spans="1:15" ht="12.75">
      <c r="A449" s="478"/>
      <c r="B449" s="477"/>
      <c r="C449" s="1621" t="s">
        <v>572</v>
      </c>
      <c r="D449" s="1589"/>
      <c r="E449" s="476">
        <v>2.15</v>
      </c>
      <c r="F449" s="475"/>
      <c r="G449" s="230"/>
      <c r="H449" s="474"/>
      <c r="I449" s="473"/>
      <c r="J449" s="569"/>
      <c r="K449" s="572"/>
      <c r="L449" s="436"/>
      <c r="M449" s="472" t="s">
        <v>572</v>
      </c>
      <c r="O449" s="444"/>
    </row>
    <row r="450" spans="1:15" ht="12.75">
      <c r="A450" s="478"/>
      <c r="B450" s="477"/>
      <c r="C450" s="1621" t="s">
        <v>573</v>
      </c>
      <c r="D450" s="1589"/>
      <c r="E450" s="476">
        <v>3.7625</v>
      </c>
      <c r="F450" s="475"/>
      <c r="G450" s="230"/>
      <c r="H450" s="474"/>
      <c r="I450" s="473"/>
      <c r="J450" s="569"/>
      <c r="K450" s="572"/>
      <c r="L450" s="436"/>
      <c r="M450" s="472" t="s">
        <v>573</v>
      </c>
      <c r="O450" s="444"/>
    </row>
    <row r="451" spans="1:15" ht="12.75">
      <c r="A451" s="478"/>
      <c r="B451" s="477"/>
      <c r="C451" s="1621" t="s">
        <v>574</v>
      </c>
      <c r="D451" s="1589"/>
      <c r="E451" s="476">
        <v>3.7625</v>
      </c>
      <c r="F451" s="475"/>
      <c r="G451" s="230"/>
      <c r="H451" s="474"/>
      <c r="I451" s="473"/>
      <c r="J451" s="569"/>
      <c r="K451" s="572"/>
      <c r="L451" s="436"/>
      <c r="M451" s="472" t="s">
        <v>574</v>
      </c>
      <c r="O451" s="444"/>
    </row>
    <row r="452" spans="1:15" ht="12.75">
      <c r="A452" s="478"/>
      <c r="B452" s="477"/>
      <c r="C452" s="1621" t="s">
        <v>966</v>
      </c>
      <c r="D452" s="1589"/>
      <c r="E452" s="476">
        <v>11.18</v>
      </c>
      <c r="F452" s="475"/>
      <c r="G452" s="230"/>
      <c r="H452" s="474"/>
      <c r="I452" s="473"/>
      <c r="J452" s="568"/>
      <c r="K452" s="572"/>
      <c r="L452" s="436"/>
      <c r="M452" s="472" t="s">
        <v>966</v>
      </c>
      <c r="O452" s="444"/>
    </row>
    <row r="453" spans="1:80" ht="12.75">
      <c r="A453" s="461">
        <v>145</v>
      </c>
      <c r="B453" s="460" t="s">
        <v>967</v>
      </c>
      <c r="C453" s="459" t="s">
        <v>968</v>
      </c>
      <c r="D453" s="458" t="s">
        <v>145</v>
      </c>
      <c r="E453" s="457">
        <v>51.1246</v>
      </c>
      <c r="F453" s="457"/>
      <c r="G453" s="456">
        <f>E453*F453</f>
        <v>0</v>
      </c>
      <c r="H453" s="455">
        <v>0.0192</v>
      </c>
      <c r="I453" s="454">
        <f>E453*H453</f>
        <v>0.98159232</v>
      </c>
      <c r="J453" s="570"/>
      <c r="K453" s="571">
        <f>E453*J453</f>
        <v>0</v>
      </c>
      <c r="L453" s="436"/>
      <c r="O453" s="444">
        <v>2</v>
      </c>
      <c r="AA453" s="434">
        <v>3</v>
      </c>
      <c r="AB453" s="434">
        <v>7</v>
      </c>
      <c r="AC453" s="434">
        <v>597642031</v>
      </c>
      <c r="AZ453" s="434">
        <v>2</v>
      </c>
      <c r="BA453" s="434">
        <f>IF(AZ453=1,G453,0)</f>
        <v>0</v>
      </c>
      <c r="BB453" s="434">
        <f>IF(AZ453=2,G453,0)</f>
        <v>0</v>
      </c>
      <c r="BC453" s="434">
        <f>IF(AZ453=3,G453,0)</f>
        <v>0</v>
      </c>
      <c r="BD453" s="434">
        <f>IF(AZ453=4,G453,0)</f>
        <v>0</v>
      </c>
      <c r="BE453" s="434">
        <f>IF(AZ453=5,G453,0)</f>
        <v>0</v>
      </c>
      <c r="CA453" s="444">
        <v>3</v>
      </c>
      <c r="CB453" s="444">
        <v>7</v>
      </c>
    </row>
    <row r="454" spans="1:15" ht="12.75">
      <c r="A454" s="478"/>
      <c r="B454" s="477"/>
      <c r="C454" s="1628" t="s">
        <v>197</v>
      </c>
      <c r="D454" s="1589"/>
      <c r="E454" s="577">
        <v>0</v>
      </c>
      <c r="F454" s="475"/>
      <c r="G454" s="230"/>
      <c r="H454" s="474"/>
      <c r="I454" s="473"/>
      <c r="J454" s="569"/>
      <c r="K454" s="572"/>
      <c r="L454" s="436"/>
      <c r="M454" s="472" t="s">
        <v>197</v>
      </c>
      <c r="O454" s="444"/>
    </row>
    <row r="455" spans="1:15" ht="12.75">
      <c r="A455" s="478"/>
      <c r="B455" s="477"/>
      <c r="C455" s="1628" t="s">
        <v>683</v>
      </c>
      <c r="D455" s="1589"/>
      <c r="E455" s="577">
        <v>0</v>
      </c>
      <c r="F455" s="475"/>
      <c r="G455" s="230"/>
      <c r="H455" s="474"/>
      <c r="I455" s="473"/>
      <c r="J455" s="569"/>
      <c r="K455" s="572"/>
      <c r="L455" s="436"/>
      <c r="M455" s="472" t="s">
        <v>683</v>
      </c>
      <c r="O455" s="444"/>
    </row>
    <row r="456" spans="1:15" ht="12.75">
      <c r="A456" s="478"/>
      <c r="B456" s="477"/>
      <c r="C456" s="1628" t="s">
        <v>966</v>
      </c>
      <c r="D456" s="1589"/>
      <c r="E456" s="577">
        <v>11.18</v>
      </c>
      <c r="F456" s="475"/>
      <c r="G456" s="230"/>
      <c r="H456" s="474"/>
      <c r="I456" s="473"/>
      <c r="J456" s="569"/>
      <c r="K456" s="572"/>
      <c r="L456" s="436"/>
      <c r="M456" s="472" t="s">
        <v>966</v>
      </c>
      <c r="O456" s="444"/>
    </row>
    <row r="457" spans="1:15" ht="12.75">
      <c r="A457" s="478"/>
      <c r="B457" s="477"/>
      <c r="C457" s="1628" t="s">
        <v>570</v>
      </c>
      <c r="D457" s="1589"/>
      <c r="E457" s="577">
        <v>19.72</v>
      </c>
      <c r="F457" s="475"/>
      <c r="G457" s="230"/>
      <c r="H457" s="474"/>
      <c r="I457" s="473"/>
      <c r="J457" s="569"/>
      <c r="K457" s="572"/>
      <c r="L457" s="436"/>
      <c r="M457" s="472" t="s">
        <v>570</v>
      </c>
      <c r="O457" s="444"/>
    </row>
    <row r="458" spans="1:15" ht="12.75">
      <c r="A458" s="478"/>
      <c r="B458" s="477"/>
      <c r="C458" s="1628" t="s">
        <v>571</v>
      </c>
      <c r="D458" s="1589"/>
      <c r="E458" s="577">
        <v>3.9775</v>
      </c>
      <c r="F458" s="475"/>
      <c r="G458" s="230"/>
      <c r="H458" s="474"/>
      <c r="I458" s="473"/>
      <c r="J458" s="569"/>
      <c r="K458" s="572"/>
      <c r="L458" s="436"/>
      <c r="M458" s="472" t="s">
        <v>571</v>
      </c>
      <c r="O458" s="444"/>
    </row>
    <row r="459" spans="1:15" ht="12.75">
      <c r="A459" s="478"/>
      <c r="B459" s="477"/>
      <c r="C459" s="1628" t="s">
        <v>572</v>
      </c>
      <c r="D459" s="1589"/>
      <c r="E459" s="577">
        <v>2.15</v>
      </c>
      <c r="F459" s="475"/>
      <c r="G459" s="230"/>
      <c r="H459" s="474"/>
      <c r="I459" s="473"/>
      <c r="J459" s="569"/>
      <c r="K459" s="572"/>
      <c r="L459" s="436"/>
      <c r="M459" s="472" t="s">
        <v>572</v>
      </c>
      <c r="O459" s="444"/>
    </row>
    <row r="460" spans="1:15" ht="12.75">
      <c r="A460" s="478"/>
      <c r="B460" s="477"/>
      <c r="C460" s="1628" t="s">
        <v>573</v>
      </c>
      <c r="D460" s="1589"/>
      <c r="E460" s="577">
        <v>3.7625</v>
      </c>
      <c r="F460" s="475"/>
      <c r="G460" s="230"/>
      <c r="H460" s="474"/>
      <c r="I460" s="473"/>
      <c r="J460" s="569"/>
      <c r="K460" s="572"/>
      <c r="L460" s="436"/>
      <c r="M460" s="472" t="s">
        <v>573</v>
      </c>
      <c r="O460" s="444"/>
    </row>
    <row r="461" spans="1:15" ht="12.75">
      <c r="A461" s="478"/>
      <c r="B461" s="477"/>
      <c r="C461" s="1628" t="s">
        <v>574</v>
      </c>
      <c r="D461" s="1589"/>
      <c r="E461" s="577">
        <v>3.7625</v>
      </c>
      <c r="F461" s="475"/>
      <c r="G461" s="230"/>
      <c r="H461" s="474"/>
      <c r="I461" s="473"/>
      <c r="J461" s="569"/>
      <c r="K461" s="572"/>
      <c r="L461" s="436"/>
      <c r="M461" s="472" t="s">
        <v>574</v>
      </c>
      <c r="O461" s="444"/>
    </row>
    <row r="462" spans="1:15" ht="12.75">
      <c r="A462" s="478"/>
      <c r="B462" s="477"/>
      <c r="C462" s="1628" t="s">
        <v>199</v>
      </c>
      <c r="D462" s="1589"/>
      <c r="E462" s="577">
        <v>44.5525</v>
      </c>
      <c r="F462" s="475"/>
      <c r="G462" s="230"/>
      <c r="H462" s="474"/>
      <c r="I462" s="473"/>
      <c r="J462" s="569"/>
      <c r="K462" s="572"/>
      <c r="L462" s="436"/>
      <c r="M462" s="472" t="s">
        <v>199</v>
      </c>
      <c r="O462" s="444"/>
    </row>
    <row r="463" spans="1:15" ht="12.75">
      <c r="A463" s="478"/>
      <c r="B463" s="477"/>
      <c r="C463" s="1621" t="s">
        <v>969</v>
      </c>
      <c r="D463" s="1589"/>
      <c r="E463" s="476">
        <v>49.0078</v>
      </c>
      <c r="F463" s="475"/>
      <c r="G463" s="230"/>
      <c r="H463" s="474"/>
      <c r="I463" s="473"/>
      <c r="J463" s="569"/>
      <c r="K463" s="572"/>
      <c r="L463" s="436"/>
      <c r="M463" s="472" t="s">
        <v>969</v>
      </c>
      <c r="O463" s="444"/>
    </row>
    <row r="464" spans="1:15" ht="12.75">
      <c r="A464" s="478"/>
      <c r="B464" s="477"/>
      <c r="C464" s="1621" t="s">
        <v>970</v>
      </c>
      <c r="D464" s="1589"/>
      <c r="E464" s="476">
        <v>0</v>
      </c>
      <c r="F464" s="475"/>
      <c r="G464" s="230"/>
      <c r="H464" s="474"/>
      <c r="I464" s="473"/>
      <c r="J464" s="569"/>
      <c r="K464" s="572"/>
      <c r="L464" s="436"/>
      <c r="M464" s="472" t="s">
        <v>970</v>
      </c>
      <c r="O464" s="444"/>
    </row>
    <row r="465" spans="1:15" ht="12.75">
      <c r="A465" s="478"/>
      <c r="B465" s="477"/>
      <c r="C465" s="1621" t="s">
        <v>971</v>
      </c>
      <c r="D465" s="1589"/>
      <c r="E465" s="476">
        <v>2.1168</v>
      </c>
      <c r="F465" s="475"/>
      <c r="G465" s="230"/>
      <c r="H465" s="474"/>
      <c r="I465" s="473"/>
      <c r="J465" s="569"/>
      <c r="K465" s="572"/>
      <c r="L465" s="436"/>
      <c r="M465" s="472" t="s">
        <v>971</v>
      </c>
      <c r="O465" s="444"/>
    </row>
    <row r="466" spans="1:80" ht="12.75">
      <c r="A466" s="461">
        <v>146</v>
      </c>
      <c r="B466" s="460" t="s">
        <v>972</v>
      </c>
      <c r="C466" s="459" t="s">
        <v>973</v>
      </c>
      <c r="D466" s="458" t="s">
        <v>9</v>
      </c>
      <c r="E466" s="457"/>
      <c r="F466" s="457"/>
      <c r="G466" s="456">
        <f>E466*F466</f>
        <v>0</v>
      </c>
      <c r="H466" s="455">
        <v>0</v>
      </c>
      <c r="I466" s="454">
        <f>E466*H466</f>
        <v>0</v>
      </c>
      <c r="J466" s="570"/>
      <c r="K466" s="571">
        <f>E466*J466</f>
        <v>0</v>
      </c>
      <c r="L466" s="436"/>
      <c r="O466" s="444">
        <v>2</v>
      </c>
      <c r="AA466" s="434">
        <v>7</v>
      </c>
      <c r="AB466" s="434">
        <v>1002</v>
      </c>
      <c r="AC466" s="434">
        <v>5</v>
      </c>
      <c r="AZ466" s="434">
        <v>2</v>
      </c>
      <c r="BA466" s="434">
        <f>IF(AZ466=1,G466,0)</f>
        <v>0</v>
      </c>
      <c r="BB466" s="434">
        <f>IF(AZ466=2,G466,0)</f>
        <v>0</v>
      </c>
      <c r="BC466" s="434">
        <f>IF(AZ466=3,G466,0)</f>
        <v>0</v>
      </c>
      <c r="BD466" s="434">
        <f>IF(AZ466=4,G466,0)</f>
        <v>0</v>
      </c>
      <c r="BE466" s="434">
        <f>IF(AZ466=5,G466,0)</f>
        <v>0</v>
      </c>
      <c r="CA466" s="444">
        <v>7</v>
      </c>
      <c r="CB466" s="444">
        <v>1002</v>
      </c>
    </row>
    <row r="467" spans="1:57" ht="12.75">
      <c r="A467" s="453"/>
      <c r="B467" s="452" t="s">
        <v>175</v>
      </c>
      <c r="C467" s="451" t="s">
        <v>974</v>
      </c>
      <c r="D467" s="450"/>
      <c r="E467" s="449"/>
      <c r="F467" s="448"/>
      <c r="G467" s="447">
        <f>SUM(G434:G466)</f>
        <v>0</v>
      </c>
      <c r="H467" s="446"/>
      <c r="I467" s="445">
        <f>SUM(I434:I466)</f>
        <v>1.156896195</v>
      </c>
      <c r="J467" s="568"/>
      <c r="K467" s="576">
        <f>SUM(K434:K466)</f>
        <v>0</v>
      </c>
      <c r="L467" s="436"/>
      <c r="O467" s="444">
        <v>4</v>
      </c>
      <c r="BA467" s="443">
        <f>SUM(BA434:BA466)</f>
        <v>0</v>
      </c>
      <c r="BB467" s="443">
        <f>SUM(BB434:BB466)</f>
        <v>0</v>
      </c>
      <c r="BC467" s="443">
        <f>SUM(BC434:BC466)</f>
        <v>0</v>
      </c>
      <c r="BD467" s="443">
        <f>SUM(BD434:BD466)</f>
        <v>0</v>
      </c>
      <c r="BE467" s="443">
        <f>SUM(BE434:BE466)</f>
        <v>0</v>
      </c>
    </row>
    <row r="468" spans="1:15" ht="12.75">
      <c r="A468" s="471" t="s">
        <v>140</v>
      </c>
      <c r="B468" s="470" t="s">
        <v>975</v>
      </c>
      <c r="C468" s="469" t="s">
        <v>976</v>
      </c>
      <c r="D468" s="468"/>
      <c r="E468" s="467"/>
      <c r="F468" s="467"/>
      <c r="G468" s="466"/>
      <c r="H468" s="465"/>
      <c r="I468" s="464"/>
      <c r="J468" s="568"/>
      <c r="K468" s="569"/>
      <c r="L468" s="436"/>
      <c r="O468" s="444">
        <v>1</v>
      </c>
    </row>
    <row r="469" spans="1:80" ht="20.4">
      <c r="A469" s="461">
        <v>147</v>
      </c>
      <c r="B469" s="460" t="s">
        <v>977</v>
      </c>
      <c r="C469" s="459" t="s">
        <v>978</v>
      </c>
      <c r="D469" s="458" t="s">
        <v>145</v>
      </c>
      <c r="E469" s="457">
        <v>98.16</v>
      </c>
      <c r="F469" s="457"/>
      <c r="G469" s="456">
        <f>E469*F469</f>
        <v>0</v>
      </c>
      <c r="H469" s="455">
        <v>0.00475</v>
      </c>
      <c r="I469" s="454">
        <f>E469*H469</f>
        <v>0.46625999999999995</v>
      </c>
      <c r="J469" s="570">
        <v>0</v>
      </c>
      <c r="K469" s="571">
        <f>E469*J469</f>
        <v>0</v>
      </c>
      <c r="L469" s="436"/>
      <c r="O469" s="444">
        <v>2</v>
      </c>
      <c r="AA469" s="434">
        <v>1</v>
      </c>
      <c r="AB469" s="434">
        <v>0</v>
      </c>
      <c r="AC469" s="434">
        <v>0</v>
      </c>
      <c r="AZ469" s="434">
        <v>2</v>
      </c>
      <c r="BA469" s="434">
        <f>IF(AZ469=1,G469,0)</f>
        <v>0</v>
      </c>
      <c r="BB469" s="434">
        <f>IF(AZ469=2,G469,0)</f>
        <v>0</v>
      </c>
      <c r="BC469" s="434">
        <f>IF(AZ469=3,G469,0)</f>
        <v>0</v>
      </c>
      <c r="BD469" s="434">
        <f>IF(AZ469=4,G469,0)</f>
        <v>0</v>
      </c>
      <c r="BE469" s="434">
        <f>IF(AZ469=5,G469,0)</f>
        <v>0</v>
      </c>
      <c r="CA469" s="444">
        <v>1</v>
      </c>
      <c r="CB469" s="444">
        <v>0</v>
      </c>
    </row>
    <row r="470" spans="1:15" ht="12.75">
      <c r="A470" s="478"/>
      <c r="B470" s="477"/>
      <c r="C470" s="1621" t="s">
        <v>979</v>
      </c>
      <c r="D470" s="1589"/>
      <c r="E470" s="476">
        <v>0</v>
      </c>
      <c r="F470" s="475"/>
      <c r="G470" s="230"/>
      <c r="H470" s="474"/>
      <c r="I470" s="473"/>
      <c r="J470" s="569"/>
      <c r="K470" s="572"/>
      <c r="L470" s="436"/>
      <c r="M470" s="472">
        <v>0</v>
      </c>
      <c r="O470" s="444"/>
    </row>
    <row r="471" spans="1:15" ht="12.75">
      <c r="A471" s="478"/>
      <c r="B471" s="477"/>
      <c r="C471" s="1621" t="s">
        <v>980</v>
      </c>
      <c r="D471" s="1589"/>
      <c r="E471" s="476">
        <v>42.68</v>
      </c>
      <c r="F471" s="475"/>
      <c r="G471" s="230"/>
      <c r="H471" s="474"/>
      <c r="I471" s="473"/>
      <c r="J471" s="569"/>
      <c r="K471" s="572"/>
      <c r="L471" s="436"/>
      <c r="M471" s="472" t="s">
        <v>980</v>
      </c>
      <c r="O471" s="444"/>
    </row>
    <row r="472" spans="1:15" ht="12.75">
      <c r="A472" s="478"/>
      <c r="B472" s="477"/>
      <c r="C472" s="1621" t="s">
        <v>981</v>
      </c>
      <c r="D472" s="1589"/>
      <c r="E472" s="476">
        <v>18.4</v>
      </c>
      <c r="F472" s="475"/>
      <c r="G472" s="230"/>
      <c r="H472" s="474"/>
      <c r="I472" s="473"/>
      <c r="J472" s="569"/>
      <c r="K472" s="572"/>
      <c r="L472" s="436"/>
      <c r="M472" s="472" t="s">
        <v>981</v>
      </c>
      <c r="O472" s="444"/>
    </row>
    <row r="473" spans="1:15" ht="12.75">
      <c r="A473" s="478"/>
      <c r="B473" s="477"/>
      <c r="C473" s="1621" t="s">
        <v>982</v>
      </c>
      <c r="D473" s="1589"/>
      <c r="E473" s="476">
        <v>12.6</v>
      </c>
      <c r="F473" s="475"/>
      <c r="G473" s="230"/>
      <c r="H473" s="474"/>
      <c r="I473" s="473"/>
      <c r="J473" s="569"/>
      <c r="K473" s="572"/>
      <c r="L473" s="436"/>
      <c r="M473" s="472" t="s">
        <v>982</v>
      </c>
      <c r="O473" s="444"/>
    </row>
    <row r="474" spans="1:15" ht="12.75">
      <c r="A474" s="478"/>
      <c r="B474" s="477"/>
      <c r="C474" s="1621" t="s">
        <v>983</v>
      </c>
      <c r="D474" s="1589"/>
      <c r="E474" s="476">
        <v>17.94</v>
      </c>
      <c r="F474" s="475"/>
      <c r="G474" s="230"/>
      <c r="H474" s="474"/>
      <c r="I474" s="473"/>
      <c r="J474" s="569"/>
      <c r="K474" s="572"/>
      <c r="L474" s="436"/>
      <c r="M474" s="472" t="s">
        <v>983</v>
      </c>
      <c r="O474" s="444"/>
    </row>
    <row r="475" spans="1:15" ht="12.75">
      <c r="A475" s="478"/>
      <c r="B475" s="477"/>
      <c r="C475" s="1621" t="s">
        <v>984</v>
      </c>
      <c r="D475" s="1589"/>
      <c r="E475" s="476">
        <v>17.94</v>
      </c>
      <c r="F475" s="475"/>
      <c r="G475" s="230"/>
      <c r="H475" s="474"/>
      <c r="I475" s="473"/>
      <c r="J475" s="569"/>
      <c r="K475" s="572"/>
      <c r="L475" s="436"/>
      <c r="M475" s="472" t="s">
        <v>984</v>
      </c>
      <c r="O475" s="444"/>
    </row>
    <row r="476" spans="1:15" ht="12.75">
      <c r="A476" s="478"/>
      <c r="B476" s="477"/>
      <c r="C476" s="1621" t="s">
        <v>985</v>
      </c>
      <c r="D476" s="1589"/>
      <c r="E476" s="476">
        <v>-6</v>
      </c>
      <c r="F476" s="475"/>
      <c r="G476" s="230"/>
      <c r="H476" s="474"/>
      <c r="I476" s="473"/>
      <c r="J476" s="569"/>
      <c r="K476" s="572"/>
      <c r="L476" s="436"/>
      <c r="M476" s="472" t="s">
        <v>985</v>
      </c>
      <c r="O476" s="444"/>
    </row>
    <row r="477" spans="1:15" ht="12.75">
      <c r="A477" s="478"/>
      <c r="B477" s="477"/>
      <c r="C477" s="1621" t="s">
        <v>986</v>
      </c>
      <c r="D477" s="1589"/>
      <c r="E477" s="476">
        <v>-2.2</v>
      </c>
      <c r="F477" s="475"/>
      <c r="G477" s="230"/>
      <c r="H477" s="474"/>
      <c r="I477" s="473"/>
      <c r="J477" s="569"/>
      <c r="K477" s="572"/>
      <c r="L477" s="436"/>
      <c r="M477" s="472" t="s">
        <v>986</v>
      </c>
      <c r="O477" s="444"/>
    </row>
    <row r="478" spans="1:15" ht="12.75">
      <c r="A478" s="478"/>
      <c r="B478" s="477"/>
      <c r="C478" s="1621" t="s">
        <v>987</v>
      </c>
      <c r="D478" s="1589"/>
      <c r="E478" s="476">
        <v>-3.2</v>
      </c>
      <c r="F478" s="475"/>
      <c r="G478" s="230"/>
      <c r="H478" s="474"/>
      <c r="I478" s="473"/>
      <c r="J478" s="569"/>
      <c r="K478" s="572"/>
      <c r="L478" s="436"/>
      <c r="M478" s="472" t="s">
        <v>987</v>
      </c>
      <c r="O478" s="444"/>
    </row>
    <row r="479" spans="1:80" ht="12.75">
      <c r="A479" s="461">
        <v>148</v>
      </c>
      <c r="B479" s="460" t="s">
        <v>988</v>
      </c>
      <c r="C479" s="459" t="s">
        <v>989</v>
      </c>
      <c r="D479" s="458" t="s">
        <v>145</v>
      </c>
      <c r="E479" s="457">
        <v>117.792</v>
      </c>
      <c r="F479" s="457"/>
      <c r="G479" s="456">
        <f>E479*F479</f>
        <v>0</v>
      </c>
      <c r="H479" s="455">
        <v>0.0122</v>
      </c>
      <c r="I479" s="454">
        <f>E479*H479</f>
        <v>1.4370624</v>
      </c>
      <c r="J479" s="570"/>
      <c r="K479" s="571">
        <f>E479*J479</f>
        <v>0</v>
      </c>
      <c r="L479" s="436"/>
      <c r="O479" s="444">
        <v>2</v>
      </c>
      <c r="AA479" s="434">
        <v>3</v>
      </c>
      <c r="AB479" s="434">
        <v>7</v>
      </c>
      <c r="AC479" s="434">
        <v>597813625</v>
      </c>
      <c r="AZ479" s="434">
        <v>2</v>
      </c>
      <c r="BA479" s="434">
        <f>IF(AZ479=1,G479,0)</f>
        <v>0</v>
      </c>
      <c r="BB479" s="434">
        <f>IF(AZ479=2,G479,0)</f>
        <v>0</v>
      </c>
      <c r="BC479" s="434">
        <f>IF(AZ479=3,G479,0)</f>
        <v>0</v>
      </c>
      <c r="BD479" s="434">
        <f>IF(AZ479=4,G479,0)</f>
        <v>0</v>
      </c>
      <c r="BE479" s="434">
        <f>IF(AZ479=5,G479,0)</f>
        <v>0</v>
      </c>
      <c r="CA479" s="444">
        <v>3</v>
      </c>
      <c r="CB479" s="444">
        <v>7</v>
      </c>
    </row>
    <row r="480" spans="1:15" ht="12.75">
      <c r="A480" s="478"/>
      <c r="B480" s="477"/>
      <c r="C480" s="1621" t="s">
        <v>990</v>
      </c>
      <c r="D480" s="1589"/>
      <c r="E480" s="476">
        <v>117.792</v>
      </c>
      <c r="F480" s="475"/>
      <c r="G480" s="230"/>
      <c r="H480" s="474"/>
      <c r="I480" s="473"/>
      <c r="J480" s="568"/>
      <c r="K480" s="572"/>
      <c r="L480" s="436"/>
      <c r="M480" s="472" t="s">
        <v>990</v>
      </c>
      <c r="O480" s="444"/>
    </row>
    <row r="481" spans="1:80" ht="12.75">
      <c r="A481" s="461">
        <v>149</v>
      </c>
      <c r="B481" s="460" t="s">
        <v>991</v>
      </c>
      <c r="C481" s="459" t="s">
        <v>992</v>
      </c>
      <c r="D481" s="458" t="s">
        <v>9</v>
      </c>
      <c r="E481" s="457"/>
      <c r="F481" s="457"/>
      <c r="G481" s="456">
        <f>E481*F481</f>
        <v>0</v>
      </c>
      <c r="H481" s="455">
        <v>0</v>
      </c>
      <c r="I481" s="454">
        <f>E481*H481</f>
        <v>0</v>
      </c>
      <c r="J481" s="570"/>
      <c r="K481" s="571">
        <f>E481*J481</f>
        <v>0</v>
      </c>
      <c r="L481" s="436"/>
      <c r="O481" s="444">
        <v>2</v>
      </c>
      <c r="AA481" s="434">
        <v>7</v>
      </c>
      <c r="AB481" s="434">
        <v>1002</v>
      </c>
      <c r="AC481" s="434">
        <v>5</v>
      </c>
      <c r="AZ481" s="434">
        <v>2</v>
      </c>
      <c r="BA481" s="434">
        <f>IF(AZ481=1,G481,0)</f>
        <v>0</v>
      </c>
      <c r="BB481" s="434">
        <f>IF(AZ481=2,G481,0)</f>
        <v>0</v>
      </c>
      <c r="BC481" s="434">
        <f>IF(AZ481=3,G481,0)</f>
        <v>0</v>
      </c>
      <c r="BD481" s="434">
        <f>IF(AZ481=4,G481,0)</f>
        <v>0</v>
      </c>
      <c r="BE481" s="434">
        <f>IF(AZ481=5,G481,0)</f>
        <v>0</v>
      </c>
      <c r="CA481" s="444">
        <v>7</v>
      </c>
      <c r="CB481" s="444">
        <v>1002</v>
      </c>
    </row>
    <row r="482" spans="1:57" ht="12.75">
      <c r="A482" s="453"/>
      <c r="B482" s="452" t="s">
        <v>175</v>
      </c>
      <c r="C482" s="451" t="s">
        <v>993</v>
      </c>
      <c r="D482" s="450"/>
      <c r="E482" s="449"/>
      <c r="F482" s="448"/>
      <c r="G482" s="447">
        <f>SUM(G468:G481)</f>
        <v>0</v>
      </c>
      <c r="H482" s="446"/>
      <c r="I482" s="445">
        <f>SUM(I468:I481)</f>
        <v>1.9033224</v>
      </c>
      <c r="J482" s="569"/>
      <c r="K482" s="576">
        <f>SUM(K468:K481)</f>
        <v>0</v>
      </c>
      <c r="L482" s="436"/>
      <c r="O482" s="444">
        <v>4</v>
      </c>
      <c r="BA482" s="443">
        <f>SUM(BA468:BA481)</f>
        <v>0</v>
      </c>
      <c r="BB482" s="443">
        <f>SUM(BB468:BB481)</f>
        <v>0</v>
      </c>
      <c r="BC482" s="443">
        <f>SUM(BC468:BC481)</f>
        <v>0</v>
      </c>
      <c r="BD482" s="443">
        <f>SUM(BD468:BD481)</f>
        <v>0</v>
      </c>
      <c r="BE482" s="443">
        <f>SUM(BE468:BE481)</f>
        <v>0</v>
      </c>
    </row>
    <row r="483" spans="1:15" ht="12.75">
      <c r="A483" s="471" t="s">
        <v>140</v>
      </c>
      <c r="B483" s="470" t="s">
        <v>994</v>
      </c>
      <c r="C483" s="469" t="s">
        <v>995</v>
      </c>
      <c r="D483" s="468"/>
      <c r="E483" s="467"/>
      <c r="F483" s="467"/>
      <c r="G483" s="466"/>
      <c r="H483" s="465"/>
      <c r="I483" s="464"/>
      <c r="J483" s="568"/>
      <c r="K483" s="569"/>
      <c r="L483" s="436"/>
      <c r="O483" s="444">
        <v>1</v>
      </c>
    </row>
    <row r="484" spans="1:80" ht="12.75">
      <c r="A484" s="461">
        <v>150</v>
      </c>
      <c r="B484" s="460" t="s">
        <v>996</v>
      </c>
      <c r="C484" s="459" t="s">
        <v>997</v>
      </c>
      <c r="D484" s="458" t="s">
        <v>181</v>
      </c>
      <c r="E484" s="457">
        <v>1</v>
      </c>
      <c r="F484" s="457"/>
      <c r="G484" s="456">
        <f>E484*F484</f>
        <v>0</v>
      </c>
      <c r="H484" s="455">
        <v>0.00014</v>
      </c>
      <c r="I484" s="454">
        <f>E484*H484</f>
        <v>0.00014</v>
      </c>
      <c r="J484" s="570">
        <v>0</v>
      </c>
      <c r="K484" s="571">
        <f>E484*J484</f>
        <v>0</v>
      </c>
      <c r="L484" s="436"/>
      <c r="O484" s="444">
        <v>2</v>
      </c>
      <c r="AA484" s="434">
        <v>1</v>
      </c>
      <c r="AB484" s="434">
        <v>7</v>
      </c>
      <c r="AC484" s="434">
        <v>7</v>
      </c>
      <c r="AZ484" s="434">
        <v>2</v>
      </c>
      <c r="BA484" s="434">
        <f>IF(AZ484=1,G484,0)</f>
        <v>0</v>
      </c>
      <c r="BB484" s="434">
        <f>IF(AZ484=2,G484,0)</f>
        <v>0</v>
      </c>
      <c r="BC484" s="434">
        <f>IF(AZ484=3,G484,0)</f>
        <v>0</v>
      </c>
      <c r="BD484" s="434">
        <f>IF(AZ484=4,G484,0)</f>
        <v>0</v>
      </c>
      <c r="BE484" s="434">
        <f>IF(AZ484=5,G484,0)</f>
        <v>0</v>
      </c>
      <c r="CA484" s="444">
        <v>1</v>
      </c>
      <c r="CB484" s="444">
        <v>7</v>
      </c>
    </row>
    <row r="485" spans="1:15" ht="12.75">
      <c r="A485" s="478"/>
      <c r="B485" s="477"/>
      <c r="C485" s="1621" t="s">
        <v>998</v>
      </c>
      <c r="D485" s="1589"/>
      <c r="E485" s="476">
        <v>1</v>
      </c>
      <c r="F485" s="475"/>
      <c r="G485" s="230"/>
      <c r="H485" s="474"/>
      <c r="I485" s="473"/>
      <c r="J485" s="569"/>
      <c r="K485" s="572"/>
      <c r="L485" s="436"/>
      <c r="M485" s="472" t="s">
        <v>998</v>
      </c>
      <c r="O485" s="444"/>
    </row>
    <row r="486" spans="1:80" ht="12.75">
      <c r="A486" s="461">
        <v>151</v>
      </c>
      <c r="B486" s="460" t="s">
        <v>999</v>
      </c>
      <c r="C486" s="459" t="s">
        <v>1000</v>
      </c>
      <c r="D486" s="458" t="s">
        <v>145</v>
      </c>
      <c r="E486" s="457">
        <v>3.584</v>
      </c>
      <c r="F486" s="457"/>
      <c r="G486" s="456">
        <f>E486*F486</f>
        <v>0</v>
      </c>
      <c r="H486" s="455">
        <v>0.00038</v>
      </c>
      <c r="I486" s="454">
        <f>E486*H486</f>
        <v>0.0013619200000000002</v>
      </c>
      <c r="J486" s="570">
        <v>0</v>
      </c>
      <c r="K486" s="571">
        <f>E486*J486</f>
        <v>0</v>
      </c>
      <c r="L486" s="436"/>
      <c r="O486" s="444">
        <v>2</v>
      </c>
      <c r="AA486" s="434">
        <v>1</v>
      </c>
      <c r="AB486" s="434">
        <v>0</v>
      </c>
      <c r="AC486" s="434">
        <v>0</v>
      </c>
      <c r="AZ486" s="434">
        <v>2</v>
      </c>
      <c r="BA486" s="434">
        <f>IF(AZ486=1,G486,0)</f>
        <v>0</v>
      </c>
      <c r="BB486" s="434">
        <f>IF(AZ486=2,G486,0)</f>
        <v>0</v>
      </c>
      <c r="BC486" s="434">
        <f>IF(AZ486=3,G486,0)</f>
        <v>0</v>
      </c>
      <c r="BD486" s="434">
        <f>IF(AZ486=4,G486,0)</f>
        <v>0</v>
      </c>
      <c r="BE486" s="434">
        <f>IF(AZ486=5,G486,0)</f>
        <v>0</v>
      </c>
      <c r="CA486" s="444">
        <v>1</v>
      </c>
      <c r="CB486" s="444">
        <v>0</v>
      </c>
    </row>
    <row r="487" spans="1:15" ht="12.75">
      <c r="A487" s="478"/>
      <c r="B487" s="477"/>
      <c r="C487" s="1621" t="s">
        <v>1001</v>
      </c>
      <c r="D487" s="1589"/>
      <c r="E487" s="476">
        <v>3.584</v>
      </c>
      <c r="F487" s="475"/>
      <c r="G487" s="230"/>
      <c r="H487" s="474"/>
      <c r="I487" s="473"/>
      <c r="J487" s="569"/>
      <c r="K487" s="572"/>
      <c r="L487" s="436"/>
      <c r="M487" s="472" t="s">
        <v>1001</v>
      </c>
      <c r="O487" s="444"/>
    </row>
    <row r="488" spans="1:57" ht="12.75">
      <c r="A488" s="453"/>
      <c r="B488" s="452" t="s">
        <v>175</v>
      </c>
      <c r="C488" s="451" t="s">
        <v>1002</v>
      </c>
      <c r="D488" s="450"/>
      <c r="E488" s="449"/>
      <c r="F488" s="448"/>
      <c r="G488" s="447">
        <f>SUM(G483:G487)</f>
        <v>0</v>
      </c>
      <c r="H488" s="446"/>
      <c r="I488" s="445">
        <f>SUM(I483:I487)</f>
        <v>0.0015019200000000001</v>
      </c>
      <c r="J488" s="568"/>
      <c r="K488" s="576">
        <f>SUM(K483:K487)</f>
        <v>0</v>
      </c>
      <c r="L488" s="436"/>
      <c r="O488" s="444">
        <v>4</v>
      </c>
      <c r="BA488" s="443">
        <f>SUM(BA483:BA487)</f>
        <v>0</v>
      </c>
      <c r="BB488" s="443">
        <f>SUM(BB483:BB487)</f>
        <v>0</v>
      </c>
      <c r="BC488" s="443">
        <f>SUM(BC483:BC487)</f>
        <v>0</v>
      </c>
      <c r="BD488" s="443">
        <f>SUM(BD483:BD487)</f>
        <v>0</v>
      </c>
      <c r="BE488" s="443">
        <f>SUM(BE483:BE487)</f>
        <v>0</v>
      </c>
    </row>
    <row r="489" spans="1:15" ht="12.75">
      <c r="A489" s="471" t="s">
        <v>140</v>
      </c>
      <c r="B489" s="470" t="s">
        <v>1003</v>
      </c>
      <c r="C489" s="469" t="s">
        <v>1004</v>
      </c>
      <c r="D489" s="468"/>
      <c r="E489" s="467"/>
      <c r="F489" s="467"/>
      <c r="G489" s="466"/>
      <c r="H489" s="465"/>
      <c r="I489" s="464"/>
      <c r="J489" s="568"/>
      <c r="K489" s="569"/>
      <c r="L489" s="436"/>
      <c r="O489" s="444">
        <v>1</v>
      </c>
    </row>
    <row r="490" spans="1:80" ht="12.75">
      <c r="A490" s="461">
        <v>152</v>
      </c>
      <c r="B490" s="460" t="s">
        <v>1005</v>
      </c>
      <c r="C490" s="459" t="s">
        <v>1006</v>
      </c>
      <c r="D490" s="458" t="s">
        <v>145</v>
      </c>
      <c r="E490" s="457">
        <v>80.2525</v>
      </c>
      <c r="F490" s="457"/>
      <c r="G490" s="456">
        <f>E490*F490</f>
        <v>0</v>
      </c>
      <c r="H490" s="455">
        <v>7E-05</v>
      </c>
      <c r="I490" s="454">
        <f>E490*H490</f>
        <v>0.005617674999999999</v>
      </c>
      <c r="J490" s="570">
        <v>0</v>
      </c>
      <c r="K490" s="571">
        <f>E490*J490</f>
        <v>0</v>
      </c>
      <c r="L490" s="436"/>
      <c r="O490" s="444">
        <v>2</v>
      </c>
      <c r="AA490" s="434">
        <v>1</v>
      </c>
      <c r="AB490" s="434">
        <v>7</v>
      </c>
      <c r="AC490" s="434">
        <v>7</v>
      </c>
      <c r="AZ490" s="434">
        <v>2</v>
      </c>
      <c r="BA490" s="434">
        <f>IF(AZ490=1,G490,0)</f>
        <v>0</v>
      </c>
      <c r="BB490" s="434">
        <f>IF(AZ490=2,G490,0)</f>
        <v>0</v>
      </c>
      <c r="BC490" s="434">
        <f>IF(AZ490=3,G490,0)</f>
        <v>0</v>
      </c>
      <c r="BD490" s="434">
        <f>IF(AZ490=4,G490,0)</f>
        <v>0</v>
      </c>
      <c r="BE490" s="434">
        <f>IF(AZ490=5,G490,0)</f>
        <v>0</v>
      </c>
      <c r="CA490" s="444">
        <v>1</v>
      </c>
      <c r="CB490" s="444">
        <v>7</v>
      </c>
    </row>
    <row r="491" spans="1:15" ht="12.75">
      <c r="A491" s="478"/>
      <c r="B491" s="477"/>
      <c r="C491" s="1621" t="s">
        <v>1007</v>
      </c>
      <c r="D491" s="1589"/>
      <c r="E491" s="476">
        <v>0</v>
      </c>
      <c r="F491" s="475"/>
      <c r="G491" s="230"/>
      <c r="H491" s="474"/>
      <c r="I491" s="473"/>
      <c r="J491" s="569"/>
      <c r="K491" s="572"/>
      <c r="L491" s="436"/>
      <c r="M491" s="472" t="s">
        <v>1007</v>
      </c>
      <c r="O491" s="444"/>
    </row>
    <row r="492" spans="1:15" ht="12.75">
      <c r="A492" s="478"/>
      <c r="B492" s="477"/>
      <c r="C492" s="1621" t="s">
        <v>570</v>
      </c>
      <c r="D492" s="1589"/>
      <c r="E492" s="476">
        <v>19.72</v>
      </c>
      <c r="F492" s="475"/>
      <c r="G492" s="230"/>
      <c r="H492" s="474"/>
      <c r="I492" s="473"/>
      <c r="J492" s="569"/>
      <c r="K492" s="572"/>
      <c r="L492" s="436"/>
      <c r="M492" s="472" t="s">
        <v>570</v>
      </c>
      <c r="O492" s="444"/>
    </row>
    <row r="493" spans="1:15" ht="12.75">
      <c r="A493" s="478"/>
      <c r="B493" s="477"/>
      <c r="C493" s="1621" t="s">
        <v>571</v>
      </c>
      <c r="D493" s="1589"/>
      <c r="E493" s="476">
        <v>3.9775</v>
      </c>
      <c r="F493" s="475"/>
      <c r="G493" s="230"/>
      <c r="H493" s="474"/>
      <c r="I493" s="473"/>
      <c r="J493" s="569"/>
      <c r="K493" s="572"/>
      <c r="L493" s="436"/>
      <c r="M493" s="472" t="s">
        <v>571</v>
      </c>
      <c r="O493" s="444"/>
    </row>
    <row r="494" spans="1:15" ht="12.75">
      <c r="A494" s="478"/>
      <c r="B494" s="477"/>
      <c r="C494" s="1621" t="s">
        <v>572</v>
      </c>
      <c r="D494" s="1589"/>
      <c r="E494" s="476">
        <v>2.15</v>
      </c>
      <c r="F494" s="475"/>
      <c r="G494" s="230"/>
      <c r="H494" s="474"/>
      <c r="I494" s="473"/>
      <c r="J494" s="569"/>
      <c r="K494" s="572"/>
      <c r="L494" s="436"/>
      <c r="M494" s="472" t="s">
        <v>572</v>
      </c>
      <c r="O494" s="444"/>
    </row>
    <row r="495" spans="1:15" ht="12.75">
      <c r="A495" s="478"/>
      <c r="B495" s="477"/>
      <c r="C495" s="1621" t="s">
        <v>573</v>
      </c>
      <c r="D495" s="1589"/>
      <c r="E495" s="476">
        <v>3.7625</v>
      </c>
      <c r="F495" s="475"/>
      <c r="G495" s="230"/>
      <c r="H495" s="474"/>
      <c r="I495" s="473"/>
      <c r="J495" s="569"/>
      <c r="K495" s="572"/>
      <c r="L495" s="436"/>
      <c r="M495" s="472" t="s">
        <v>573</v>
      </c>
      <c r="O495" s="444"/>
    </row>
    <row r="496" spans="1:15" ht="12.75">
      <c r="A496" s="478"/>
      <c r="B496" s="477"/>
      <c r="C496" s="1621" t="s">
        <v>574</v>
      </c>
      <c r="D496" s="1589"/>
      <c r="E496" s="476">
        <v>3.7625</v>
      </c>
      <c r="F496" s="475"/>
      <c r="G496" s="230"/>
      <c r="H496" s="474"/>
      <c r="I496" s="473"/>
      <c r="J496" s="569"/>
      <c r="K496" s="572"/>
      <c r="L496" s="436"/>
      <c r="M496" s="472" t="s">
        <v>574</v>
      </c>
      <c r="O496" s="444"/>
    </row>
    <row r="497" spans="1:15" ht="12.75">
      <c r="A497" s="478"/>
      <c r="B497" s="477"/>
      <c r="C497" s="1621" t="s">
        <v>567</v>
      </c>
      <c r="D497" s="1589"/>
      <c r="E497" s="476">
        <v>11.18</v>
      </c>
      <c r="F497" s="475"/>
      <c r="G497" s="230"/>
      <c r="H497" s="474"/>
      <c r="I497" s="473"/>
      <c r="J497" s="569"/>
      <c r="K497" s="572"/>
      <c r="L497" s="436"/>
      <c r="M497" s="472" t="s">
        <v>567</v>
      </c>
      <c r="O497" s="444"/>
    </row>
    <row r="498" spans="1:15" ht="12.75">
      <c r="A498" s="478"/>
      <c r="B498" s="477"/>
      <c r="C498" s="1621" t="s">
        <v>1008</v>
      </c>
      <c r="D498" s="1589"/>
      <c r="E498" s="476">
        <v>0</v>
      </c>
      <c r="F498" s="475"/>
      <c r="G498" s="230"/>
      <c r="H498" s="474"/>
      <c r="I498" s="473"/>
      <c r="J498" s="569"/>
      <c r="K498" s="572"/>
      <c r="L498" s="436"/>
      <c r="M498" s="472" t="s">
        <v>1008</v>
      </c>
      <c r="O498" s="444"/>
    </row>
    <row r="499" spans="1:15" ht="12.75">
      <c r="A499" s="478"/>
      <c r="B499" s="477"/>
      <c r="C499" s="1621" t="s">
        <v>610</v>
      </c>
      <c r="D499" s="1589"/>
      <c r="E499" s="476">
        <v>1.89</v>
      </c>
      <c r="F499" s="475"/>
      <c r="G499" s="230"/>
      <c r="H499" s="474"/>
      <c r="I499" s="473"/>
      <c r="J499" s="569"/>
      <c r="K499" s="572"/>
      <c r="L499" s="436"/>
      <c r="M499" s="472" t="s">
        <v>610</v>
      </c>
      <c r="O499" s="444"/>
    </row>
    <row r="500" spans="1:15" ht="12.75">
      <c r="A500" s="478"/>
      <c r="B500" s="477"/>
      <c r="C500" s="1621" t="s">
        <v>611</v>
      </c>
      <c r="D500" s="1589"/>
      <c r="E500" s="476">
        <v>33.81</v>
      </c>
      <c r="F500" s="475"/>
      <c r="G500" s="230"/>
      <c r="H500" s="474"/>
      <c r="I500" s="473"/>
      <c r="J500" s="569"/>
      <c r="K500" s="572"/>
      <c r="L500" s="436"/>
      <c r="M500" s="472" t="s">
        <v>611</v>
      </c>
      <c r="O500" s="444"/>
    </row>
    <row r="501" spans="1:80" ht="12.75">
      <c r="A501" s="461">
        <v>153</v>
      </c>
      <c r="B501" s="460" t="s">
        <v>1009</v>
      </c>
      <c r="C501" s="459" t="s">
        <v>1010</v>
      </c>
      <c r="D501" s="458" t="s">
        <v>145</v>
      </c>
      <c r="E501" s="457">
        <v>80.2525</v>
      </c>
      <c r="F501" s="457"/>
      <c r="G501" s="456">
        <f>E501*F501</f>
        <v>0</v>
      </c>
      <c r="H501" s="455">
        <v>0.00024</v>
      </c>
      <c r="I501" s="454">
        <f>E501*H501</f>
        <v>0.0192606</v>
      </c>
      <c r="J501" s="570">
        <v>0</v>
      </c>
      <c r="K501" s="571">
        <f>E501*J501</f>
        <v>0</v>
      </c>
      <c r="L501" s="436"/>
      <c r="O501" s="444">
        <v>2</v>
      </c>
      <c r="AA501" s="434">
        <v>1</v>
      </c>
      <c r="AB501" s="434">
        <v>7</v>
      </c>
      <c r="AC501" s="434">
        <v>7</v>
      </c>
      <c r="AZ501" s="434">
        <v>2</v>
      </c>
      <c r="BA501" s="434">
        <f>IF(AZ501=1,G501,0)</f>
        <v>0</v>
      </c>
      <c r="BB501" s="434">
        <f>IF(AZ501=2,G501,0)</f>
        <v>0</v>
      </c>
      <c r="BC501" s="434">
        <f>IF(AZ501=3,G501,0)</f>
        <v>0</v>
      </c>
      <c r="BD501" s="434">
        <f>IF(AZ501=4,G501,0)</f>
        <v>0</v>
      </c>
      <c r="BE501" s="434">
        <f>IF(AZ501=5,G501,0)</f>
        <v>0</v>
      </c>
      <c r="CA501" s="444">
        <v>1</v>
      </c>
      <c r="CB501" s="444">
        <v>7</v>
      </c>
    </row>
    <row r="502" spans="1:57" ht="12.75">
      <c r="A502" s="453"/>
      <c r="B502" s="452" t="s">
        <v>175</v>
      </c>
      <c r="C502" s="451" t="s">
        <v>1011</v>
      </c>
      <c r="D502" s="450"/>
      <c r="E502" s="449"/>
      <c r="F502" s="448"/>
      <c r="G502" s="447">
        <f>SUM(G489:G501)</f>
        <v>0</v>
      </c>
      <c r="H502" s="446"/>
      <c r="I502" s="445">
        <f>SUM(I489:I501)</f>
        <v>0.024878275</v>
      </c>
      <c r="J502" s="568"/>
      <c r="K502" s="576">
        <f>SUM(K489:K501)</f>
        <v>0</v>
      </c>
      <c r="L502" s="436"/>
      <c r="O502" s="444">
        <v>4</v>
      </c>
      <c r="BA502" s="443">
        <f>SUM(BA489:BA501)</f>
        <v>0</v>
      </c>
      <c r="BB502" s="443">
        <f>SUM(BB489:BB501)</f>
        <v>0</v>
      </c>
      <c r="BC502" s="443">
        <f>SUM(BC489:BC501)</f>
        <v>0</v>
      </c>
      <c r="BD502" s="443">
        <f>SUM(BD489:BD501)</f>
        <v>0</v>
      </c>
      <c r="BE502" s="443">
        <f>SUM(BE489:BE501)</f>
        <v>0</v>
      </c>
    </row>
    <row r="503" spans="1:15" ht="12.75">
      <c r="A503" s="471" t="s">
        <v>140</v>
      </c>
      <c r="B503" s="470" t="s">
        <v>1012</v>
      </c>
      <c r="C503" s="469" t="s">
        <v>1013</v>
      </c>
      <c r="D503" s="468"/>
      <c r="E503" s="467"/>
      <c r="F503" s="467"/>
      <c r="G503" s="466"/>
      <c r="H503" s="465"/>
      <c r="I503" s="464"/>
      <c r="J503" s="568"/>
      <c r="K503" s="569"/>
      <c r="L503" s="436"/>
      <c r="O503" s="444">
        <v>1</v>
      </c>
    </row>
    <row r="504" spans="1:80" ht="12.75">
      <c r="A504" s="461">
        <v>154</v>
      </c>
      <c r="B504" s="460" t="s">
        <v>1014</v>
      </c>
      <c r="C504" s="459" t="s">
        <v>1015</v>
      </c>
      <c r="D504" s="458" t="s">
        <v>181</v>
      </c>
      <c r="E504" s="457">
        <v>4</v>
      </c>
      <c r="F504" s="457">
        <v>0</v>
      </c>
      <c r="G504" s="456">
        <f>E504*F504</f>
        <v>0</v>
      </c>
      <c r="H504" s="455">
        <v>0.02077</v>
      </c>
      <c r="I504" s="454">
        <f>E504*H504</f>
        <v>0.08308</v>
      </c>
      <c r="J504" s="570">
        <v>0</v>
      </c>
      <c r="K504" s="571">
        <f>E504*J504</f>
        <v>0</v>
      </c>
      <c r="L504" s="436"/>
      <c r="O504" s="444">
        <v>2</v>
      </c>
      <c r="AA504" s="434">
        <v>1</v>
      </c>
      <c r="AB504" s="434">
        <v>7</v>
      </c>
      <c r="AC504" s="434">
        <v>7</v>
      </c>
      <c r="AZ504" s="434">
        <v>2</v>
      </c>
      <c r="BA504" s="434">
        <f>IF(AZ504=1,G504,0)</f>
        <v>0</v>
      </c>
      <c r="BB504" s="434">
        <f>IF(AZ504=2,G504,0)</f>
        <v>0</v>
      </c>
      <c r="BC504" s="434">
        <f>IF(AZ504=3,G504,0)</f>
        <v>0</v>
      </c>
      <c r="BD504" s="434">
        <f>IF(AZ504=4,G504,0)</f>
        <v>0</v>
      </c>
      <c r="BE504" s="434">
        <f>IF(AZ504=5,G504,0)</f>
        <v>0</v>
      </c>
      <c r="CA504" s="444">
        <v>1</v>
      </c>
      <c r="CB504" s="444">
        <v>7</v>
      </c>
    </row>
    <row r="505" spans="1:15" ht="12.75">
      <c r="A505" s="478"/>
      <c r="B505" s="573"/>
      <c r="C505" s="1627"/>
      <c r="D505" s="1596"/>
      <c r="E505" s="1596"/>
      <c r="F505" s="1596"/>
      <c r="G505" s="1597"/>
      <c r="I505" s="473"/>
      <c r="J505" s="574"/>
      <c r="K505" s="572"/>
      <c r="L505" s="575"/>
      <c r="O505" s="444">
        <v>3</v>
      </c>
    </row>
    <row r="506" spans="1:15" ht="12.75">
      <c r="A506" s="478"/>
      <c r="B506" s="477"/>
      <c r="C506" s="1621" t="s">
        <v>747</v>
      </c>
      <c r="D506" s="1589"/>
      <c r="E506" s="476">
        <v>2</v>
      </c>
      <c r="F506" s="475"/>
      <c r="G506" s="230"/>
      <c r="H506" s="474"/>
      <c r="I506" s="473"/>
      <c r="J506" s="569"/>
      <c r="K506" s="572"/>
      <c r="L506" s="436"/>
      <c r="M506" s="472" t="s">
        <v>747</v>
      </c>
      <c r="O506" s="444"/>
    </row>
    <row r="507" spans="1:15" ht="12.75">
      <c r="A507" s="478"/>
      <c r="B507" s="477"/>
      <c r="C507" s="1621" t="s">
        <v>746</v>
      </c>
      <c r="D507" s="1589"/>
      <c r="E507" s="476">
        <v>2</v>
      </c>
      <c r="F507" s="475"/>
      <c r="G507" s="230"/>
      <c r="H507" s="474"/>
      <c r="I507" s="473"/>
      <c r="J507" s="569"/>
      <c r="K507" s="572"/>
      <c r="L507" s="436"/>
      <c r="M507" s="472" t="s">
        <v>746</v>
      </c>
      <c r="O507" s="444"/>
    </row>
    <row r="508" spans="1:80" ht="12.75">
      <c r="A508" s="461">
        <v>155</v>
      </c>
      <c r="B508" s="460" t="s">
        <v>1016</v>
      </c>
      <c r="C508" s="459" t="s">
        <v>1017</v>
      </c>
      <c r="D508" s="458" t="s">
        <v>181</v>
      </c>
      <c r="E508" s="457">
        <v>1</v>
      </c>
      <c r="F508" s="457">
        <v>0</v>
      </c>
      <c r="G508" s="456">
        <f>E508*F508</f>
        <v>0</v>
      </c>
      <c r="H508" s="455">
        <v>0.02057</v>
      </c>
      <c r="I508" s="454">
        <f>E508*H508</f>
        <v>0.02057</v>
      </c>
      <c r="J508" s="570">
        <v>0</v>
      </c>
      <c r="K508" s="571">
        <f>E508*J508</f>
        <v>0</v>
      </c>
      <c r="L508" s="436"/>
      <c r="O508" s="444">
        <v>2</v>
      </c>
      <c r="AA508" s="434">
        <v>1</v>
      </c>
      <c r="AB508" s="434">
        <v>7</v>
      </c>
      <c r="AC508" s="434">
        <v>7</v>
      </c>
      <c r="AZ508" s="434">
        <v>2</v>
      </c>
      <c r="BA508" s="434">
        <f>IF(AZ508=1,G508,0)</f>
        <v>0</v>
      </c>
      <c r="BB508" s="434">
        <f>IF(AZ508=2,G508,0)</f>
        <v>0</v>
      </c>
      <c r="BC508" s="434">
        <f>IF(AZ508=3,G508,0)</f>
        <v>0</v>
      </c>
      <c r="BD508" s="434">
        <f>IF(AZ508=4,G508,0)</f>
        <v>0</v>
      </c>
      <c r="BE508" s="434">
        <f>IF(AZ508=5,G508,0)</f>
        <v>0</v>
      </c>
      <c r="CA508" s="444">
        <v>1</v>
      </c>
      <c r="CB508" s="444">
        <v>7</v>
      </c>
    </row>
    <row r="509" spans="1:15" ht="12.75">
      <c r="A509" s="478"/>
      <c r="B509" s="573"/>
      <c r="C509" s="1627"/>
      <c r="D509" s="1596"/>
      <c r="E509" s="1596"/>
      <c r="F509" s="1596"/>
      <c r="G509" s="1597"/>
      <c r="I509" s="473"/>
      <c r="J509" s="574"/>
      <c r="K509" s="572"/>
      <c r="L509" s="575"/>
      <c r="O509" s="444">
        <v>3</v>
      </c>
    </row>
    <row r="510" spans="1:15" ht="12.75">
      <c r="A510" s="478"/>
      <c r="B510" s="477"/>
      <c r="C510" s="1621" t="s">
        <v>735</v>
      </c>
      <c r="D510" s="1589"/>
      <c r="E510" s="476">
        <v>1</v>
      </c>
      <c r="F510" s="475"/>
      <c r="G510" s="230"/>
      <c r="H510" s="474"/>
      <c r="I510" s="473"/>
      <c r="J510" s="569"/>
      <c r="K510" s="572"/>
      <c r="L510" s="436"/>
      <c r="M510" s="472" t="s">
        <v>735</v>
      </c>
      <c r="O510" s="444"/>
    </row>
    <row r="511" spans="1:80" ht="12.75">
      <c r="A511" s="461">
        <v>156</v>
      </c>
      <c r="B511" s="460" t="s">
        <v>1018</v>
      </c>
      <c r="C511" s="459" t="s">
        <v>1019</v>
      </c>
      <c r="D511" s="458" t="s">
        <v>9</v>
      </c>
      <c r="E511" s="457"/>
      <c r="F511" s="457">
        <v>0</v>
      </c>
      <c r="G511" s="456">
        <f>E511*F511</f>
        <v>0</v>
      </c>
      <c r="H511" s="455">
        <v>0</v>
      </c>
      <c r="I511" s="454">
        <f>E511*H511</f>
        <v>0</v>
      </c>
      <c r="J511" s="570"/>
      <c r="K511" s="571">
        <f>E511*J511</f>
        <v>0</v>
      </c>
      <c r="L511" s="436"/>
      <c r="O511" s="444">
        <v>2</v>
      </c>
      <c r="AA511" s="434">
        <v>7</v>
      </c>
      <c r="AB511" s="434">
        <v>1002</v>
      </c>
      <c r="AC511" s="434">
        <v>5</v>
      </c>
      <c r="AZ511" s="434">
        <v>2</v>
      </c>
      <c r="BA511" s="434">
        <f>IF(AZ511=1,G511,0)</f>
        <v>0</v>
      </c>
      <c r="BB511" s="434">
        <f>IF(AZ511=2,G511,0)</f>
        <v>0</v>
      </c>
      <c r="BC511" s="434">
        <f>IF(AZ511=3,G511,0)</f>
        <v>0</v>
      </c>
      <c r="BD511" s="434">
        <f>IF(AZ511=4,G511,0)</f>
        <v>0</v>
      </c>
      <c r="BE511" s="434">
        <f>IF(AZ511=5,G511,0)</f>
        <v>0</v>
      </c>
      <c r="CA511" s="444">
        <v>7</v>
      </c>
      <c r="CB511" s="444">
        <v>1002</v>
      </c>
    </row>
    <row r="512" spans="1:57" ht="12.75">
      <c r="A512" s="453"/>
      <c r="B512" s="452" t="s">
        <v>175</v>
      </c>
      <c r="C512" s="451" t="s">
        <v>1020</v>
      </c>
      <c r="D512" s="450"/>
      <c r="E512" s="449"/>
      <c r="F512" s="448"/>
      <c r="G512" s="447">
        <f>SUM(G503:G511)</f>
        <v>0</v>
      </c>
      <c r="H512" s="446"/>
      <c r="I512" s="445">
        <f>SUM(I503:I511)</f>
        <v>0.10365</v>
      </c>
      <c r="J512" s="568"/>
      <c r="K512" s="576">
        <f>SUM(K503:K511)</f>
        <v>0</v>
      </c>
      <c r="L512" s="436"/>
      <c r="O512" s="444">
        <v>4</v>
      </c>
      <c r="BA512" s="443">
        <f>SUM(BA503:BA511)</f>
        <v>0</v>
      </c>
      <c r="BB512" s="443">
        <f>SUM(BB503:BB511)</f>
        <v>0</v>
      </c>
      <c r="BC512" s="443">
        <f>SUM(BC503:BC511)</f>
        <v>0</v>
      </c>
      <c r="BD512" s="443">
        <f>SUM(BD503:BD511)</f>
        <v>0</v>
      </c>
      <c r="BE512" s="443">
        <f>SUM(BE503:BE511)</f>
        <v>0</v>
      </c>
    </row>
    <row r="513" spans="1:15" ht="12.75">
      <c r="A513" s="471" t="s">
        <v>140</v>
      </c>
      <c r="B513" s="470" t="s">
        <v>1021</v>
      </c>
      <c r="C513" s="469" t="s">
        <v>1022</v>
      </c>
      <c r="D513" s="468"/>
      <c r="E513" s="467"/>
      <c r="F513" s="467"/>
      <c r="G513" s="466"/>
      <c r="H513" s="465"/>
      <c r="I513" s="464"/>
      <c r="J513" s="568"/>
      <c r="K513" s="569"/>
      <c r="L513" s="436"/>
      <c r="O513" s="444">
        <v>1</v>
      </c>
    </row>
    <row r="514" spans="1:80" ht="12.75">
      <c r="A514" s="461">
        <v>157</v>
      </c>
      <c r="B514" s="1730" t="s">
        <v>1023</v>
      </c>
      <c r="C514" s="1731" t="s">
        <v>1024</v>
      </c>
      <c r="D514" s="1732" t="s">
        <v>181</v>
      </c>
      <c r="E514" s="1733">
        <v>1</v>
      </c>
      <c r="F514" s="457"/>
      <c r="G514" s="456"/>
      <c r="H514" s="455">
        <v>0</v>
      </c>
      <c r="I514" s="454">
        <f>E514*H514</f>
        <v>0</v>
      </c>
      <c r="J514" s="570">
        <v>0</v>
      </c>
      <c r="K514" s="571">
        <f>E514*J514</f>
        <v>0</v>
      </c>
      <c r="L514" s="436"/>
      <c r="O514" s="444">
        <v>2</v>
      </c>
      <c r="AA514" s="434">
        <v>1</v>
      </c>
      <c r="AB514" s="434">
        <v>9</v>
      </c>
      <c r="AC514" s="434">
        <v>9</v>
      </c>
      <c r="AZ514" s="434">
        <v>4</v>
      </c>
      <c r="BA514" s="434">
        <f>IF(AZ514=1,G514,0)</f>
        <v>0</v>
      </c>
      <c r="BB514" s="434">
        <f>IF(AZ514=2,G514,0)</f>
        <v>0</v>
      </c>
      <c r="BC514" s="434">
        <f>IF(AZ514=3,G514,0)</f>
        <v>0</v>
      </c>
      <c r="BD514" s="434">
        <f>IF(AZ514=4,G514,0)</f>
        <v>0</v>
      </c>
      <c r="BE514" s="434">
        <f>IF(AZ514=5,G514,0)</f>
        <v>0</v>
      </c>
      <c r="CA514" s="444">
        <v>1</v>
      </c>
      <c r="CB514" s="444">
        <v>9</v>
      </c>
    </row>
    <row r="515" spans="1:80" ht="12.75">
      <c r="A515" s="461">
        <v>158</v>
      </c>
      <c r="B515" s="1730" t="s">
        <v>1025</v>
      </c>
      <c r="C515" s="1731" t="s">
        <v>1026</v>
      </c>
      <c r="D515" s="1732" t="s">
        <v>181</v>
      </c>
      <c r="E515" s="1733">
        <v>1</v>
      </c>
      <c r="F515" s="457"/>
      <c r="G515" s="456"/>
      <c r="H515" s="455">
        <v>0</v>
      </c>
      <c r="I515" s="454">
        <f>E515*H515</f>
        <v>0</v>
      </c>
      <c r="J515" s="570">
        <v>0</v>
      </c>
      <c r="K515" s="571">
        <f>E515*J515</f>
        <v>0</v>
      </c>
      <c r="L515" s="436"/>
      <c r="O515" s="444">
        <v>2</v>
      </c>
      <c r="AA515" s="434">
        <v>1</v>
      </c>
      <c r="AB515" s="434">
        <v>9</v>
      </c>
      <c r="AC515" s="434">
        <v>9</v>
      </c>
      <c r="AZ515" s="434">
        <v>4</v>
      </c>
      <c r="BA515" s="434">
        <f>IF(AZ515=1,G515,0)</f>
        <v>0</v>
      </c>
      <c r="BB515" s="434">
        <f>IF(AZ515=2,G515,0)</f>
        <v>0</v>
      </c>
      <c r="BC515" s="434">
        <f>IF(AZ515=3,G515,0)</f>
        <v>0</v>
      </c>
      <c r="BD515" s="434">
        <f>IF(AZ515=4,G515,0)</f>
        <v>0</v>
      </c>
      <c r="BE515" s="434">
        <f>IF(AZ515=5,G515,0)</f>
        <v>0</v>
      </c>
      <c r="CA515" s="444">
        <v>1</v>
      </c>
      <c r="CB515" s="444">
        <v>9</v>
      </c>
    </row>
    <row r="516" spans="1:57" ht="12.75">
      <c r="A516" s="453"/>
      <c r="B516" s="452" t="s">
        <v>175</v>
      </c>
      <c r="C516" s="451" t="s">
        <v>1027</v>
      </c>
      <c r="D516" s="450"/>
      <c r="E516" s="449"/>
      <c r="F516" s="448"/>
      <c r="G516" s="447">
        <f>SUM(G513:G515)</f>
        <v>0</v>
      </c>
      <c r="H516" s="446"/>
      <c r="I516" s="445">
        <f>SUM(I513:I515)</f>
        <v>0</v>
      </c>
      <c r="J516" s="568"/>
      <c r="K516" s="576">
        <f>SUM(K513:K515)</f>
        <v>0</v>
      </c>
      <c r="L516" s="436"/>
      <c r="O516" s="444">
        <v>4</v>
      </c>
      <c r="BA516" s="443">
        <f>SUM(BA513:BA515)</f>
        <v>0</v>
      </c>
      <c r="BB516" s="443">
        <f>SUM(BB513:BB515)</f>
        <v>0</v>
      </c>
      <c r="BC516" s="443">
        <f>SUM(BC513:BC515)</f>
        <v>0</v>
      </c>
      <c r="BD516" s="443">
        <f>SUM(BD513:BD515)</f>
        <v>0</v>
      </c>
      <c r="BE516" s="443">
        <f>SUM(BE513:BE515)</f>
        <v>0</v>
      </c>
    </row>
    <row r="517" spans="1:15" ht="12.75">
      <c r="A517" s="471" t="s">
        <v>140</v>
      </c>
      <c r="B517" s="470" t="s">
        <v>1028</v>
      </c>
      <c r="C517" s="469" t="s">
        <v>1029</v>
      </c>
      <c r="D517" s="468"/>
      <c r="E517" s="467"/>
      <c r="F517" s="467"/>
      <c r="G517" s="466"/>
      <c r="H517" s="465"/>
      <c r="I517" s="464"/>
      <c r="J517" s="568"/>
      <c r="K517" s="569"/>
      <c r="L517" s="436"/>
      <c r="O517" s="444">
        <v>1</v>
      </c>
    </row>
    <row r="518" spans="1:80" ht="12.75">
      <c r="A518" s="461">
        <v>159</v>
      </c>
      <c r="B518" s="1730" t="s">
        <v>1030</v>
      </c>
      <c r="C518" s="1731" t="s">
        <v>1031</v>
      </c>
      <c r="D518" s="1732" t="s">
        <v>181</v>
      </c>
      <c r="E518" s="1733">
        <v>1</v>
      </c>
      <c r="F518" s="457"/>
      <c r="G518" s="456"/>
      <c r="H518" s="455">
        <v>0</v>
      </c>
      <c r="I518" s="454">
        <f>E518*H518</f>
        <v>0</v>
      </c>
      <c r="J518" s="570">
        <v>0</v>
      </c>
      <c r="K518" s="571">
        <f>E518*J518</f>
        <v>0</v>
      </c>
      <c r="L518" s="436"/>
      <c r="O518" s="444">
        <v>2</v>
      </c>
      <c r="AA518" s="434">
        <v>1</v>
      </c>
      <c r="AB518" s="434">
        <v>9</v>
      </c>
      <c r="AC518" s="434">
        <v>9</v>
      </c>
      <c r="AZ518" s="434">
        <v>4</v>
      </c>
      <c r="BA518" s="434">
        <f>IF(AZ518=1,G518,0)</f>
        <v>0</v>
      </c>
      <c r="BB518" s="434">
        <f>IF(AZ518=2,G518,0)</f>
        <v>0</v>
      </c>
      <c r="BC518" s="434">
        <f>IF(AZ518=3,G518,0)</f>
        <v>0</v>
      </c>
      <c r="BD518" s="434">
        <f>IF(AZ518=4,G518,0)</f>
        <v>0</v>
      </c>
      <c r="BE518" s="434">
        <f>IF(AZ518=5,G518,0)</f>
        <v>0</v>
      </c>
      <c r="CA518" s="444">
        <v>1</v>
      </c>
      <c r="CB518" s="444">
        <v>9</v>
      </c>
    </row>
    <row r="519" spans="1:57" ht="12.75">
      <c r="A519" s="453"/>
      <c r="B519" s="452" t="s">
        <v>175</v>
      </c>
      <c r="C519" s="451" t="s">
        <v>1032</v>
      </c>
      <c r="D519" s="450"/>
      <c r="E519" s="449"/>
      <c r="F519" s="448"/>
      <c r="G519" s="447">
        <f>SUM(G517:G518)</f>
        <v>0</v>
      </c>
      <c r="H519" s="446"/>
      <c r="I519" s="445">
        <f>SUM(I517:I518)</f>
        <v>0</v>
      </c>
      <c r="J519" s="568"/>
      <c r="K519" s="576">
        <f>SUM(K517:K518)</f>
        <v>0</v>
      </c>
      <c r="L519" s="436"/>
      <c r="O519" s="444">
        <v>4</v>
      </c>
      <c r="BA519" s="443">
        <f>SUM(BA517:BA518)</f>
        <v>0</v>
      </c>
      <c r="BB519" s="443">
        <f>SUM(BB517:BB518)</f>
        <v>0</v>
      </c>
      <c r="BC519" s="443">
        <f>SUM(BC517:BC518)</f>
        <v>0</v>
      </c>
      <c r="BD519" s="443">
        <f>SUM(BD517:BD518)</f>
        <v>0</v>
      </c>
      <c r="BE519" s="443">
        <f>SUM(BE517:BE518)</f>
        <v>0</v>
      </c>
    </row>
    <row r="520" spans="1:15" ht="12.75">
      <c r="A520" s="471" t="s">
        <v>140</v>
      </c>
      <c r="B520" s="470" t="s">
        <v>266</v>
      </c>
      <c r="C520" s="469" t="s">
        <v>267</v>
      </c>
      <c r="D520" s="468"/>
      <c r="E520" s="467"/>
      <c r="F520" s="467"/>
      <c r="G520" s="466"/>
      <c r="H520" s="465"/>
      <c r="I520" s="464"/>
      <c r="J520" s="568"/>
      <c r="K520" s="569"/>
      <c r="L520" s="436"/>
      <c r="O520" s="444">
        <v>1</v>
      </c>
    </row>
    <row r="521" spans="1:80" ht="12.75">
      <c r="A521" s="461">
        <v>160</v>
      </c>
      <c r="B521" s="460" t="s">
        <v>268</v>
      </c>
      <c r="C521" s="459" t="s">
        <v>269</v>
      </c>
      <c r="D521" s="458" t="s">
        <v>166</v>
      </c>
      <c r="E521" s="457">
        <v>0.0055</v>
      </c>
      <c r="F521" s="457">
        <v>0</v>
      </c>
      <c r="G521" s="456">
        <f>E521*F521</f>
        <v>0</v>
      </c>
      <c r="H521" s="455">
        <v>0</v>
      </c>
      <c r="I521" s="454">
        <f>E521*H521</f>
        <v>0</v>
      </c>
      <c r="J521" s="570"/>
      <c r="K521" s="571">
        <f>E521*J521</f>
        <v>0</v>
      </c>
      <c r="L521" s="436"/>
      <c r="O521" s="444">
        <v>2</v>
      </c>
      <c r="AA521" s="434">
        <v>8</v>
      </c>
      <c r="AB521" s="434">
        <v>0</v>
      </c>
      <c r="AC521" s="434">
        <v>3</v>
      </c>
      <c r="AZ521" s="434">
        <v>1</v>
      </c>
      <c r="BA521" s="434">
        <f>IF(AZ521=1,G521,0)</f>
        <v>0</v>
      </c>
      <c r="BB521" s="434">
        <f>IF(AZ521=2,G521,0)</f>
        <v>0</v>
      </c>
      <c r="BC521" s="434">
        <f>IF(AZ521=3,G521,0)</f>
        <v>0</v>
      </c>
      <c r="BD521" s="434">
        <f>IF(AZ521=4,G521,0)</f>
        <v>0</v>
      </c>
      <c r="BE521" s="434">
        <f>IF(AZ521=5,G521,0)</f>
        <v>0</v>
      </c>
      <c r="CA521" s="444">
        <v>8</v>
      </c>
      <c r="CB521" s="444">
        <v>0</v>
      </c>
    </row>
    <row r="522" spans="1:80" ht="12.75">
      <c r="A522" s="461">
        <v>161</v>
      </c>
      <c r="B522" s="460" t="s">
        <v>270</v>
      </c>
      <c r="C522" s="459" t="s">
        <v>271</v>
      </c>
      <c r="D522" s="458" t="s">
        <v>166</v>
      </c>
      <c r="E522" s="457">
        <v>0.0495</v>
      </c>
      <c r="F522" s="457">
        <v>0</v>
      </c>
      <c r="G522" s="456">
        <f>E522*F522</f>
        <v>0</v>
      </c>
      <c r="H522" s="455">
        <v>0</v>
      </c>
      <c r="I522" s="454">
        <f>E522*H522</f>
        <v>0</v>
      </c>
      <c r="J522" s="570"/>
      <c r="K522" s="571">
        <f>E522*J522</f>
        <v>0</v>
      </c>
      <c r="L522" s="436"/>
      <c r="O522" s="444">
        <v>2</v>
      </c>
      <c r="AA522" s="434">
        <v>8</v>
      </c>
      <c r="AB522" s="434">
        <v>0</v>
      </c>
      <c r="AC522" s="434">
        <v>3</v>
      </c>
      <c r="AZ522" s="434">
        <v>1</v>
      </c>
      <c r="BA522" s="434">
        <f>IF(AZ522=1,G522,0)</f>
        <v>0</v>
      </c>
      <c r="BB522" s="434">
        <f>IF(AZ522=2,G522,0)</f>
        <v>0</v>
      </c>
      <c r="BC522" s="434">
        <f>IF(AZ522=3,G522,0)</f>
        <v>0</v>
      </c>
      <c r="BD522" s="434">
        <f>IF(AZ522=4,G522,0)</f>
        <v>0</v>
      </c>
      <c r="BE522" s="434">
        <f>IF(AZ522=5,G522,0)</f>
        <v>0</v>
      </c>
      <c r="CA522" s="444">
        <v>8</v>
      </c>
      <c r="CB522" s="444">
        <v>0</v>
      </c>
    </row>
    <row r="523" spans="1:80" ht="12.75">
      <c r="A523" s="461">
        <v>162</v>
      </c>
      <c r="B523" s="460" t="s">
        <v>272</v>
      </c>
      <c r="C523" s="459" t="s">
        <v>273</v>
      </c>
      <c r="D523" s="458" t="s">
        <v>166</v>
      </c>
      <c r="E523" s="457">
        <v>0.0055</v>
      </c>
      <c r="F523" s="457">
        <v>0</v>
      </c>
      <c r="G523" s="456">
        <f>E523*F523</f>
        <v>0</v>
      </c>
      <c r="H523" s="455">
        <v>0</v>
      </c>
      <c r="I523" s="454">
        <f>E523*H523</f>
        <v>0</v>
      </c>
      <c r="J523" s="570"/>
      <c r="K523" s="571">
        <f>E523*J523</f>
        <v>0</v>
      </c>
      <c r="L523" s="436"/>
      <c r="O523" s="444">
        <v>2</v>
      </c>
      <c r="AA523" s="434">
        <v>8</v>
      </c>
      <c r="AB523" s="434">
        <v>0</v>
      </c>
      <c r="AC523" s="434">
        <v>3</v>
      </c>
      <c r="AZ523" s="434">
        <v>1</v>
      </c>
      <c r="BA523" s="434">
        <f>IF(AZ523=1,G523,0)</f>
        <v>0</v>
      </c>
      <c r="BB523" s="434">
        <f>IF(AZ523=2,G523,0)</f>
        <v>0</v>
      </c>
      <c r="BC523" s="434">
        <f>IF(AZ523=3,G523,0)</f>
        <v>0</v>
      </c>
      <c r="BD523" s="434">
        <f>IF(AZ523=4,G523,0)</f>
        <v>0</v>
      </c>
      <c r="BE523" s="434">
        <f>IF(AZ523=5,G523,0)</f>
        <v>0</v>
      </c>
      <c r="CA523" s="444">
        <v>8</v>
      </c>
      <c r="CB523" s="444">
        <v>0</v>
      </c>
    </row>
    <row r="524" spans="1:80" ht="12.75">
      <c r="A524" s="461">
        <v>163</v>
      </c>
      <c r="B524" s="460" t="s">
        <v>274</v>
      </c>
      <c r="C524" s="459" t="s">
        <v>275</v>
      </c>
      <c r="D524" s="458" t="s">
        <v>166</v>
      </c>
      <c r="E524" s="457">
        <v>0.0165</v>
      </c>
      <c r="F524" s="457">
        <v>0</v>
      </c>
      <c r="G524" s="456">
        <f>E524*F524</f>
        <v>0</v>
      </c>
      <c r="H524" s="455">
        <v>0</v>
      </c>
      <c r="I524" s="454">
        <f>E524*H524</f>
        <v>0</v>
      </c>
      <c r="J524" s="570"/>
      <c r="K524" s="571">
        <f>E524*J524</f>
        <v>0</v>
      </c>
      <c r="L524" s="436"/>
      <c r="O524" s="444">
        <v>2</v>
      </c>
      <c r="AA524" s="434">
        <v>8</v>
      </c>
      <c r="AB524" s="434">
        <v>0</v>
      </c>
      <c r="AC524" s="434">
        <v>3</v>
      </c>
      <c r="AZ524" s="434">
        <v>1</v>
      </c>
      <c r="BA524" s="434">
        <f>IF(AZ524=1,G524,0)</f>
        <v>0</v>
      </c>
      <c r="BB524" s="434">
        <f>IF(AZ524=2,G524,0)</f>
        <v>0</v>
      </c>
      <c r="BC524" s="434">
        <f>IF(AZ524=3,G524,0)</f>
        <v>0</v>
      </c>
      <c r="BD524" s="434">
        <f>IF(AZ524=4,G524,0)</f>
        <v>0</v>
      </c>
      <c r="BE524" s="434">
        <f>IF(AZ524=5,G524,0)</f>
        <v>0</v>
      </c>
      <c r="CA524" s="444">
        <v>8</v>
      </c>
      <c r="CB524" s="444">
        <v>0</v>
      </c>
    </row>
    <row r="525" spans="1:80" ht="12.75">
      <c r="A525" s="461">
        <v>164</v>
      </c>
      <c r="B525" s="460" t="s">
        <v>1033</v>
      </c>
      <c r="C525" s="459" t="s">
        <v>1034</v>
      </c>
      <c r="D525" s="458" t="s">
        <v>166</v>
      </c>
      <c r="E525" s="457">
        <v>0.0055</v>
      </c>
      <c r="F525" s="457">
        <v>0</v>
      </c>
      <c r="G525" s="456">
        <f>E525*F525</f>
        <v>0</v>
      </c>
      <c r="H525" s="455">
        <v>0</v>
      </c>
      <c r="I525" s="454">
        <f>E525*H525</f>
        <v>0</v>
      </c>
      <c r="J525" s="570"/>
      <c r="K525" s="571">
        <f>E525*J525</f>
        <v>0</v>
      </c>
      <c r="L525" s="436"/>
      <c r="O525" s="444">
        <v>2</v>
      </c>
      <c r="AA525" s="434">
        <v>8</v>
      </c>
      <c r="AB525" s="434">
        <v>0</v>
      </c>
      <c r="AC525" s="434">
        <v>3</v>
      </c>
      <c r="AZ525" s="434">
        <v>1</v>
      </c>
      <c r="BA525" s="434">
        <f>IF(AZ525=1,G525,0)</f>
        <v>0</v>
      </c>
      <c r="BB525" s="434">
        <f>IF(AZ525=2,G525,0)</f>
        <v>0</v>
      </c>
      <c r="BC525" s="434">
        <f>IF(AZ525=3,G525,0)</f>
        <v>0</v>
      </c>
      <c r="BD525" s="434">
        <f>IF(AZ525=4,G525,0)</f>
        <v>0</v>
      </c>
      <c r="BE525" s="434">
        <f>IF(AZ525=5,G525,0)</f>
        <v>0</v>
      </c>
      <c r="CA525" s="444">
        <v>8</v>
      </c>
      <c r="CB525" s="444">
        <v>0</v>
      </c>
    </row>
    <row r="526" spans="1:57" ht="12.75">
      <c r="A526" s="453"/>
      <c r="B526" s="452" t="s">
        <v>175</v>
      </c>
      <c r="C526" s="451" t="s">
        <v>278</v>
      </c>
      <c r="D526" s="450"/>
      <c r="E526" s="449"/>
      <c r="F526" s="448"/>
      <c r="G526" s="447">
        <f>SUM(G520:G525)</f>
        <v>0</v>
      </c>
      <c r="H526" s="446"/>
      <c r="I526" s="445">
        <f>SUM(I520:I525)</f>
        <v>0</v>
      </c>
      <c r="J526" s="568"/>
      <c r="K526" s="576">
        <f>SUM(K520:K525)</f>
        <v>0</v>
      </c>
      <c r="L526" s="436"/>
      <c r="O526" s="444">
        <v>4</v>
      </c>
      <c r="BA526" s="443">
        <f>SUM(BA520:BA525)</f>
        <v>0</v>
      </c>
      <c r="BB526" s="443">
        <f>SUM(BB520:BB525)</f>
        <v>0</v>
      </c>
      <c r="BC526" s="443">
        <f>SUM(BC520:BC525)</f>
        <v>0</v>
      </c>
      <c r="BD526" s="443">
        <f>SUM(BD520:BD525)</f>
        <v>0</v>
      </c>
      <c r="BE526" s="443">
        <f>SUM(BE520:BE525)</f>
        <v>0</v>
      </c>
    </row>
    <row r="527" spans="5:12" ht="12.75">
      <c r="E527" s="434"/>
      <c r="J527" s="569"/>
      <c r="K527" s="569"/>
      <c r="L527" s="436"/>
    </row>
    <row r="528" spans="5:12" ht="12.75">
      <c r="E528" s="434"/>
      <c r="J528" s="574"/>
      <c r="K528" s="569"/>
      <c r="L528" s="436"/>
    </row>
    <row r="529" spans="5:12" ht="12.75">
      <c r="E529" s="434"/>
      <c r="J529" s="574"/>
      <c r="K529" s="569"/>
      <c r="L529" s="436"/>
    </row>
    <row r="530" spans="5:12" ht="12.75">
      <c r="E530" s="434"/>
      <c r="J530" s="574"/>
      <c r="K530" s="569"/>
      <c r="L530" s="436"/>
    </row>
    <row r="531" spans="5:12" ht="12.75">
      <c r="E531" s="434"/>
      <c r="J531" s="574"/>
      <c r="K531" s="569"/>
      <c r="L531" s="436"/>
    </row>
    <row r="532" spans="5:12" ht="12.75">
      <c r="E532" s="434"/>
      <c r="J532" s="574"/>
      <c r="K532" s="569"/>
      <c r="L532" s="436"/>
    </row>
    <row r="533" spans="5:12" ht="12.75">
      <c r="E533" s="434"/>
      <c r="J533" s="574"/>
      <c r="K533" s="569"/>
      <c r="L533" s="436"/>
    </row>
    <row r="534" spans="5:12" ht="12.75">
      <c r="E534" s="434"/>
      <c r="J534" s="574"/>
      <c r="K534" s="569"/>
      <c r="L534" s="436"/>
    </row>
    <row r="535" spans="5:11" ht="12.75">
      <c r="E535" s="434"/>
      <c r="J535" s="574"/>
      <c r="K535" s="574"/>
    </row>
    <row r="536" spans="5:11" ht="12.75">
      <c r="E536" s="434"/>
      <c r="J536" s="574"/>
      <c r="K536" s="574"/>
    </row>
    <row r="537" spans="5:11" ht="12.75">
      <c r="E537" s="434"/>
      <c r="J537" s="574"/>
      <c r="K537" s="574"/>
    </row>
    <row r="538" spans="5:11" ht="12.75">
      <c r="E538" s="434"/>
      <c r="J538" s="574"/>
      <c r="K538" s="574"/>
    </row>
    <row r="539" spans="5:11" ht="12.75">
      <c r="E539" s="434"/>
      <c r="J539" s="574"/>
      <c r="K539" s="574"/>
    </row>
    <row r="540" spans="5:11" ht="12.75">
      <c r="E540" s="434"/>
      <c r="J540" s="574"/>
      <c r="K540" s="574"/>
    </row>
    <row r="541" spans="5:11" ht="12.75">
      <c r="E541" s="434"/>
      <c r="J541" s="574"/>
      <c r="K541" s="574"/>
    </row>
    <row r="542" spans="5:11" ht="12.75">
      <c r="E542" s="434"/>
      <c r="J542" s="574"/>
      <c r="K542" s="574"/>
    </row>
    <row r="543" spans="5:11" ht="12.75">
      <c r="E543" s="434"/>
      <c r="J543" s="574"/>
      <c r="K543" s="574"/>
    </row>
    <row r="544" spans="5:11" ht="12.75">
      <c r="E544" s="434"/>
      <c r="J544" s="574"/>
      <c r="K544" s="574"/>
    </row>
    <row r="545" spans="5:11" ht="12.75">
      <c r="E545" s="434"/>
      <c r="J545" s="574"/>
      <c r="K545" s="574"/>
    </row>
    <row r="546" spans="5:11" ht="12.75">
      <c r="E546" s="434"/>
      <c r="J546" s="574"/>
      <c r="K546" s="574"/>
    </row>
    <row r="547" spans="5:11" ht="12.75">
      <c r="E547" s="434"/>
      <c r="J547" s="574"/>
      <c r="K547" s="574"/>
    </row>
    <row r="548" spans="5:11" ht="12.75">
      <c r="E548" s="434"/>
      <c r="J548" s="574"/>
      <c r="K548" s="574"/>
    </row>
    <row r="549" spans="5:11" ht="12.75">
      <c r="E549" s="434"/>
      <c r="J549" s="574"/>
      <c r="K549" s="574"/>
    </row>
    <row r="550" spans="1:11" ht="12.75">
      <c r="A550" s="436"/>
      <c r="B550" s="436"/>
      <c r="C550" s="436"/>
      <c r="D550" s="436"/>
      <c r="E550" s="436"/>
      <c r="F550" s="436"/>
      <c r="G550" s="436"/>
      <c r="J550" s="574"/>
      <c r="K550" s="574"/>
    </row>
    <row r="551" spans="1:11" ht="12.75">
      <c r="A551" s="436"/>
      <c r="B551" s="436"/>
      <c r="C551" s="436"/>
      <c r="D551" s="436"/>
      <c r="E551" s="436"/>
      <c r="F551" s="436"/>
      <c r="G551" s="436"/>
      <c r="J551" s="574"/>
      <c r="K551" s="574"/>
    </row>
    <row r="552" spans="1:11" ht="12.75">
      <c r="A552" s="436"/>
      <c r="B552" s="436"/>
      <c r="C552" s="436"/>
      <c r="D552" s="436"/>
      <c r="E552" s="436"/>
      <c r="F552" s="436"/>
      <c r="G552" s="436"/>
      <c r="J552" s="574"/>
      <c r="K552" s="574"/>
    </row>
    <row r="553" spans="1:11" ht="12.75">
      <c r="A553" s="436"/>
      <c r="B553" s="436"/>
      <c r="C553" s="436"/>
      <c r="D553" s="436"/>
      <c r="E553" s="436"/>
      <c r="F553" s="436"/>
      <c r="G553" s="436"/>
      <c r="J553" s="574"/>
      <c r="K553" s="574"/>
    </row>
    <row r="554" spans="5:11" ht="12.75">
      <c r="E554" s="434"/>
      <c r="J554" s="574"/>
      <c r="K554" s="574"/>
    </row>
    <row r="555" spans="5:11" ht="12.75">
      <c r="E555" s="434"/>
      <c r="J555" s="574"/>
      <c r="K555" s="574"/>
    </row>
    <row r="556" spans="5:11" ht="12.75">
      <c r="E556" s="434"/>
      <c r="J556" s="574"/>
      <c r="K556" s="574"/>
    </row>
    <row r="557" spans="5:11" ht="12.75">
      <c r="E557" s="434"/>
      <c r="J557" s="574"/>
      <c r="K557" s="574"/>
    </row>
    <row r="558" spans="5:11" ht="12.75">
      <c r="E558" s="434"/>
      <c r="J558" s="574"/>
      <c r="K558" s="574"/>
    </row>
    <row r="559" spans="5:11" ht="12.75">
      <c r="E559" s="434"/>
      <c r="J559" s="574"/>
      <c r="K559" s="574"/>
    </row>
    <row r="560" spans="5:11" ht="12.75">
      <c r="E560" s="434"/>
      <c r="J560" s="574"/>
      <c r="K560" s="574"/>
    </row>
    <row r="561" spans="5:11" ht="12.75">
      <c r="E561" s="434"/>
      <c r="J561" s="574"/>
      <c r="K561" s="574"/>
    </row>
    <row r="562" spans="5:11" ht="12.75">
      <c r="E562" s="434"/>
      <c r="J562" s="574"/>
      <c r="K562" s="574"/>
    </row>
    <row r="563" spans="5:11" ht="12.75">
      <c r="E563" s="434"/>
      <c r="J563" s="574"/>
      <c r="K563" s="574"/>
    </row>
    <row r="564" ht="12.75">
      <c r="E564" s="434"/>
    </row>
    <row r="565" ht="12.75">
      <c r="E565" s="434"/>
    </row>
    <row r="566" ht="12.75">
      <c r="E566" s="434"/>
    </row>
    <row r="567" ht="12.75">
      <c r="E567" s="434"/>
    </row>
    <row r="568" ht="12.75">
      <c r="E568" s="434"/>
    </row>
    <row r="569" ht="12.75">
      <c r="E569" s="434"/>
    </row>
    <row r="570" ht="12.75">
      <c r="E570" s="434"/>
    </row>
    <row r="571" ht="12.75">
      <c r="E571" s="434"/>
    </row>
    <row r="572" ht="12.75">
      <c r="E572" s="434"/>
    </row>
    <row r="573" ht="12.75">
      <c r="E573" s="434"/>
    </row>
    <row r="574" ht="12.75">
      <c r="E574" s="434"/>
    </row>
    <row r="575" ht="12.75">
      <c r="E575" s="434"/>
    </row>
    <row r="576" ht="12.75">
      <c r="E576" s="434"/>
    </row>
    <row r="577" ht="12.75">
      <c r="E577" s="434"/>
    </row>
    <row r="578" ht="12.75">
      <c r="E578" s="434"/>
    </row>
    <row r="579" ht="12.75">
      <c r="E579" s="434"/>
    </row>
    <row r="580" ht="12.75">
      <c r="E580" s="434"/>
    </row>
    <row r="581" ht="12.75">
      <c r="E581" s="434"/>
    </row>
    <row r="582" ht="12.75">
      <c r="E582" s="434"/>
    </row>
    <row r="583" ht="12.75">
      <c r="E583" s="434"/>
    </row>
    <row r="584" ht="12.75">
      <c r="E584" s="434"/>
    </row>
    <row r="585" spans="1:2" ht="12.75">
      <c r="A585" s="442"/>
      <c r="B585" s="442"/>
    </row>
    <row r="586" spans="1:7" ht="12.75">
      <c r="A586" s="436"/>
      <c r="B586" s="436"/>
      <c r="C586" s="440"/>
      <c r="D586" s="440"/>
      <c r="E586" s="441"/>
      <c r="F586" s="440"/>
      <c r="G586" s="439"/>
    </row>
    <row r="587" spans="1:7" ht="12.75">
      <c r="A587" s="438"/>
      <c r="B587" s="438"/>
      <c r="C587" s="436"/>
      <c r="D587" s="436"/>
      <c r="E587" s="437"/>
      <c r="F587" s="436"/>
      <c r="G587" s="436"/>
    </row>
    <row r="588" spans="1:7" ht="12.75">
      <c r="A588" s="436"/>
      <c r="B588" s="436"/>
      <c r="C588" s="436"/>
      <c r="D588" s="436"/>
      <c r="E588" s="437"/>
      <c r="F588" s="436"/>
      <c r="G588" s="436"/>
    </row>
    <row r="589" spans="1:7" ht="12.75">
      <c r="A589" s="436"/>
      <c r="B589" s="436"/>
      <c r="C589" s="436"/>
      <c r="D589" s="436"/>
      <c r="E589" s="437"/>
      <c r="F589" s="436"/>
      <c r="G589" s="436"/>
    </row>
    <row r="590" spans="1:7" ht="12.75">
      <c r="A590" s="436"/>
      <c r="B590" s="436"/>
      <c r="C590" s="436"/>
      <c r="D590" s="436"/>
      <c r="E590" s="437"/>
      <c r="F590" s="436"/>
      <c r="G590" s="436"/>
    </row>
    <row r="591" spans="1:7" ht="12.75">
      <c r="A591" s="436"/>
      <c r="B591" s="436"/>
      <c r="C591" s="436"/>
      <c r="D591" s="436"/>
      <c r="E591" s="437"/>
      <c r="F591" s="436"/>
      <c r="G591" s="436"/>
    </row>
    <row r="592" spans="1:7" ht="12.75">
      <c r="A592" s="436"/>
      <c r="B592" s="436"/>
      <c r="C592" s="436"/>
      <c r="D592" s="436"/>
      <c r="E592" s="437"/>
      <c r="F592" s="436"/>
      <c r="G592" s="436"/>
    </row>
    <row r="593" spans="1:7" ht="12.75">
      <c r="A593" s="436"/>
      <c r="B593" s="436"/>
      <c r="C593" s="436"/>
      <c r="D593" s="436"/>
      <c r="E593" s="437"/>
      <c r="F593" s="436"/>
      <c r="G593" s="436"/>
    </row>
    <row r="594" spans="1:7" ht="12.75">
      <c r="A594" s="436"/>
      <c r="B594" s="436"/>
      <c r="C594" s="436"/>
      <c r="D594" s="436"/>
      <c r="E594" s="437"/>
      <c r="F594" s="436"/>
      <c r="G594" s="436"/>
    </row>
    <row r="595" spans="1:7" ht="12.75">
      <c r="A595" s="436"/>
      <c r="B595" s="436"/>
      <c r="C595" s="436"/>
      <c r="D595" s="436"/>
      <c r="E595" s="437"/>
      <c r="F595" s="436"/>
      <c r="G595" s="436"/>
    </row>
    <row r="596" spans="1:7" ht="12.75">
      <c r="A596" s="436"/>
      <c r="B596" s="436"/>
      <c r="C596" s="436"/>
      <c r="D596" s="436"/>
      <c r="E596" s="437"/>
      <c r="F596" s="436"/>
      <c r="G596" s="436"/>
    </row>
    <row r="597" spans="1:7" ht="12.75">
      <c r="A597" s="436"/>
      <c r="B597" s="436"/>
      <c r="C597" s="436"/>
      <c r="D597" s="436"/>
      <c r="E597" s="437"/>
      <c r="F597" s="436"/>
      <c r="G597" s="436"/>
    </row>
    <row r="598" spans="1:7" ht="12.75">
      <c r="A598" s="436"/>
      <c r="B598" s="436"/>
      <c r="C598" s="436"/>
      <c r="D598" s="436"/>
      <c r="E598" s="437"/>
      <c r="F598" s="436"/>
      <c r="G598" s="436"/>
    </row>
    <row r="599" spans="1:7" ht="12.75">
      <c r="A599" s="436"/>
      <c r="B599" s="436"/>
      <c r="C599" s="436"/>
      <c r="D599" s="436"/>
      <c r="E599" s="437"/>
      <c r="F599" s="436"/>
      <c r="G599" s="436"/>
    </row>
  </sheetData>
  <mergeCells count="292">
    <mergeCell ref="C506:D506"/>
    <mergeCell ref="C507:D507"/>
    <mergeCell ref="C509:G509"/>
    <mergeCell ref="C510:D510"/>
    <mergeCell ref="C496:D496"/>
    <mergeCell ref="C497:D497"/>
    <mergeCell ref="C498:D498"/>
    <mergeCell ref="C499:D499"/>
    <mergeCell ref="C500:D500"/>
    <mergeCell ref="C505:G505"/>
    <mergeCell ref="C487:D487"/>
    <mergeCell ref="C491:D491"/>
    <mergeCell ref="C492:D492"/>
    <mergeCell ref="C493:D493"/>
    <mergeCell ref="C494:D494"/>
    <mergeCell ref="C495:D495"/>
    <mergeCell ref="C475:D475"/>
    <mergeCell ref="C476:D476"/>
    <mergeCell ref="C477:D477"/>
    <mergeCell ref="C478:D478"/>
    <mergeCell ref="C480:D480"/>
    <mergeCell ref="C485:D485"/>
    <mergeCell ref="C465:D465"/>
    <mergeCell ref="C470:D470"/>
    <mergeCell ref="C471:D471"/>
    <mergeCell ref="C472:D472"/>
    <mergeCell ref="C473:D473"/>
    <mergeCell ref="C474:D474"/>
    <mergeCell ref="C459:D459"/>
    <mergeCell ref="C460:D460"/>
    <mergeCell ref="C461:D461"/>
    <mergeCell ref="C462:D462"/>
    <mergeCell ref="C463:D463"/>
    <mergeCell ref="C464:D464"/>
    <mergeCell ref="C452:D452"/>
    <mergeCell ref="C454:D454"/>
    <mergeCell ref="C455:D455"/>
    <mergeCell ref="C456:D456"/>
    <mergeCell ref="C457:D457"/>
    <mergeCell ref="C458:D458"/>
    <mergeCell ref="C446:D446"/>
    <mergeCell ref="C447:D447"/>
    <mergeCell ref="C448:D448"/>
    <mergeCell ref="C449:D449"/>
    <mergeCell ref="C450:D450"/>
    <mergeCell ref="C451:D451"/>
    <mergeCell ref="C438:D438"/>
    <mergeCell ref="C439:D439"/>
    <mergeCell ref="C440:D440"/>
    <mergeCell ref="C441:D441"/>
    <mergeCell ref="C442:D442"/>
    <mergeCell ref="C444:D444"/>
    <mergeCell ref="C427:D427"/>
    <mergeCell ref="C429:D429"/>
    <mergeCell ref="C431:D431"/>
    <mergeCell ref="C432:D432"/>
    <mergeCell ref="C436:D436"/>
    <mergeCell ref="C437:D437"/>
    <mergeCell ref="C419:D419"/>
    <mergeCell ref="C420:D420"/>
    <mergeCell ref="C422:D422"/>
    <mergeCell ref="C423:D423"/>
    <mergeCell ref="C424:D424"/>
    <mergeCell ref="C426:D426"/>
    <mergeCell ref="C412:D412"/>
    <mergeCell ref="C413:D413"/>
    <mergeCell ref="C414:D414"/>
    <mergeCell ref="C416:D416"/>
    <mergeCell ref="C417:D417"/>
    <mergeCell ref="C418:D418"/>
    <mergeCell ref="C399:D399"/>
    <mergeCell ref="C400:D400"/>
    <mergeCell ref="C402:D402"/>
    <mergeCell ref="C403:D403"/>
    <mergeCell ref="C405:D405"/>
    <mergeCell ref="C407:D407"/>
    <mergeCell ref="C377:D377"/>
    <mergeCell ref="C379:D379"/>
    <mergeCell ref="C389:D389"/>
    <mergeCell ref="C391:D391"/>
    <mergeCell ref="C392:D392"/>
    <mergeCell ref="C397:D397"/>
    <mergeCell ref="C368:D368"/>
    <mergeCell ref="C369:D369"/>
    <mergeCell ref="C371:D371"/>
    <mergeCell ref="C372:D372"/>
    <mergeCell ref="C373:D373"/>
    <mergeCell ref="C376:D376"/>
    <mergeCell ref="C361:D361"/>
    <mergeCell ref="C362:D362"/>
    <mergeCell ref="C363:D363"/>
    <mergeCell ref="C365:D365"/>
    <mergeCell ref="C366:D366"/>
    <mergeCell ref="C367:D367"/>
    <mergeCell ref="C346:D346"/>
    <mergeCell ref="C347:D347"/>
    <mergeCell ref="C349:D349"/>
    <mergeCell ref="C354:D354"/>
    <mergeCell ref="C359:D359"/>
    <mergeCell ref="C360:D360"/>
    <mergeCell ref="C336:D336"/>
    <mergeCell ref="C337:D337"/>
    <mergeCell ref="C338:D338"/>
    <mergeCell ref="C339:D339"/>
    <mergeCell ref="C341:D341"/>
    <mergeCell ref="C345:D345"/>
    <mergeCell ref="C321:D321"/>
    <mergeCell ref="C322:D322"/>
    <mergeCell ref="C323:D323"/>
    <mergeCell ref="C324:D324"/>
    <mergeCell ref="C329:D329"/>
    <mergeCell ref="C334:D334"/>
    <mergeCell ref="C314:D314"/>
    <mergeCell ref="C315:D315"/>
    <mergeCell ref="C317:D317"/>
    <mergeCell ref="C318:D318"/>
    <mergeCell ref="C319:D319"/>
    <mergeCell ref="C320:D320"/>
    <mergeCell ref="C305:D305"/>
    <mergeCell ref="C306:D306"/>
    <mergeCell ref="C307:D307"/>
    <mergeCell ref="C309:D309"/>
    <mergeCell ref="C311:D311"/>
    <mergeCell ref="C313:D313"/>
    <mergeCell ref="C296:D296"/>
    <mergeCell ref="C297:D297"/>
    <mergeCell ref="C299:D299"/>
    <mergeCell ref="C301:D301"/>
    <mergeCell ref="C303:D303"/>
    <mergeCell ref="C304:D304"/>
    <mergeCell ref="C289:D289"/>
    <mergeCell ref="C290:D290"/>
    <mergeCell ref="C291:D291"/>
    <mergeCell ref="C293:D293"/>
    <mergeCell ref="C294:D294"/>
    <mergeCell ref="C295:D295"/>
    <mergeCell ref="C281:D281"/>
    <mergeCell ref="C282:D282"/>
    <mergeCell ref="C284:D284"/>
    <mergeCell ref="C285:D285"/>
    <mergeCell ref="C287:D287"/>
    <mergeCell ref="C288:D288"/>
    <mergeCell ref="C263:D263"/>
    <mergeCell ref="C264:D264"/>
    <mergeCell ref="C267:D267"/>
    <mergeCell ref="C269:D269"/>
    <mergeCell ref="C270:D270"/>
    <mergeCell ref="C279:D279"/>
    <mergeCell ref="C255:D255"/>
    <mergeCell ref="C256:D256"/>
    <mergeCell ref="C258:D258"/>
    <mergeCell ref="C259:D259"/>
    <mergeCell ref="C260:D260"/>
    <mergeCell ref="C262:D262"/>
    <mergeCell ref="C247:D247"/>
    <mergeCell ref="C248:D248"/>
    <mergeCell ref="C250:D250"/>
    <mergeCell ref="C251:D251"/>
    <mergeCell ref="C252:D252"/>
    <mergeCell ref="C254:D254"/>
    <mergeCell ref="C229:D229"/>
    <mergeCell ref="C231:D231"/>
    <mergeCell ref="C241:D241"/>
    <mergeCell ref="C242:D242"/>
    <mergeCell ref="C243:D243"/>
    <mergeCell ref="C246:D246"/>
    <mergeCell ref="C221:D221"/>
    <mergeCell ref="C223:D223"/>
    <mergeCell ref="C224:D224"/>
    <mergeCell ref="C225:D225"/>
    <mergeCell ref="C226:D226"/>
    <mergeCell ref="C227:D227"/>
    <mergeCell ref="C208:D208"/>
    <mergeCell ref="C209:D209"/>
    <mergeCell ref="C211:D211"/>
    <mergeCell ref="C212:D212"/>
    <mergeCell ref="C217:D217"/>
    <mergeCell ref="C219:D219"/>
    <mergeCell ref="C201:D201"/>
    <mergeCell ref="C202:D202"/>
    <mergeCell ref="C204:D204"/>
    <mergeCell ref="C205:D205"/>
    <mergeCell ref="C206:D206"/>
    <mergeCell ref="C207:D207"/>
    <mergeCell ref="C194:D194"/>
    <mergeCell ref="C195:D195"/>
    <mergeCell ref="C197:D197"/>
    <mergeCell ref="C198:D198"/>
    <mergeCell ref="C199:D199"/>
    <mergeCell ref="C200:D200"/>
    <mergeCell ref="C187:D187"/>
    <mergeCell ref="C188:D188"/>
    <mergeCell ref="C190:D190"/>
    <mergeCell ref="C191:D191"/>
    <mergeCell ref="C192:D192"/>
    <mergeCell ref="C193:D193"/>
    <mergeCell ref="C178:D178"/>
    <mergeCell ref="C179:D179"/>
    <mergeCell ref="C181:D181"/>
    <mergeCell ref="C182:D182"/>
    <mergeCell ref="C184:D184"/>
    <mergeCell ref="C185:D185"/>
    <mergeCell ref="C156:D156"/>
    <mergeCell ref="C160:D160"/>
    <mergeCell ref="C162:D162"/>
    <mergeCell ref="C166:D166"/>
    <mergeCell ref="C167:D167"/>
    <mergeCell ref="C171:D171"/>
    <mergeCell ref="C143:D143"/>
    <mergeCell ref="C144:D144"/>
    <mergeCell ref="C145:D145"/>
    <mergeCell ref="C149:D149"/>
    <mergeCell ref="C151:D151"/>
    <mergeCell ref="C155:D155"/>
    <mergeCell ref="C129:D129"/>
    <mergeCell ref="C130:D130"/>
    <mergeCell ref="C134:D134"/>
    <mergeCell ref="C136:D136"/>
    <mergeCell ref="C138:D138"/>
    <mergeCell ref="C142:D142"/>
    <mergeCell ref="C119:D119"/>
    <mergeCell ref="C120:D120"/>
    <mergeCell ref="C121:D121"/>
    <mergeCell ref="C125:D125"/>
    <mergeCell ref="C126:D126"/>
    <mergeCell ref="C128:D128"/>
    <mergeCell ref="C111:D111"/>
    <mergeCell ref="C112:D112"/>
    <mergeCell ref="C114:D114"/>
    <mergeCell ref="C115:D115"/>
    <mergeCell ref="C117:D117"/>
    <mergeCell ref="C118:D118"/>
    <mergeCell ref="C98:D98"/>
    <mergeCell ref="C99:D99"/>
    <mergeCell ref="C100:D100"/>
    <mergeCell ref="C104:D104"/>
    <mergeCell ref="C108:D108"/>
    <mergeCell ref="C109:D109"/>
    <mergeCell ref="C89:D89"/>
    <mergeCell ref="C90:D90"/>
    <mergeCell ref="C91:D91"/>
    <mergeCell ref="C92:D92"/>
    <mergeCell ref="C94:D94"/>
    <mergeCell ref="C96:D96"/>
    <mergeCell ref="C78:D78"/>
    <mergeCell ref="C80:D80"/>
    <mergeCell ref="C84:D84"/>
    <mergeCell ref="C85:D85"/>
    <mergeCell ref="C87:D87"/>
    <mergeCell ref="C88:D88"/>
    <mergeCell ref="C69:D69"/>
    <mergeCell ref="C70:D70"/>
    <mergeCell ref="C71:D71"/>
    <mergeCell ref="C72:D72"/>
    <mergeCell ref="C74:D74"/>
    <mergeCell ref="C76:D76"/>
    <mergeCell ref="C57:D57"/>
    <mergeCell ref="C58:D58"/>
    <mergeCell ref="C61:D61"/>
    <mergeCell ref="C62:D62"/>
    <mergeCell ref="C63:D63"/>
    <mergeCell ref="C65:D65"/>
    <mergeCell ref="C49:D49"/>
    <mergeCell ref="C51:D51"/>
    <mergeCell ref="C52:D52"/>
    <mergeCell ref="C53:D53"/>
    <mergeCell ref="C54:D54"/>
    <mergeCell ref="C55:D55"/>
    <mergeCell ref="C38:D38"/>
    <mergeCell ref="C39:D39"/>
    <mergeCell ref="C40:D40"/>
    <mergeCell ref="C41:D41"/>
    <mergeCell ref="C45:D45"/>
    <mergeCell ref="C47:D47"/>
    <mergeCell ref="C29:D29"/>
    <mergeCell ref="C31:D31"/>
    <mergeCell ref="C35:D35"/>
    <mergeCell ref="C13:D13"/>
    <mergeCell ref="C14:D14"/>
    <mergeCell ref="C16:D16"/>
    <mergeCell ref="C17:D17"/>
    <mergeCell ref="C19:D19"/>
    <mergeCell ref="C22:D22"/>
    <mergeCell ref="A1:G1"/>
    <mergeCell ref="A3:B3"/>
    <mergeCell ref="A4:B4"/>
    <mergeCell ref="E4:G4"/>
    <mergeCell ref="C9:D9"/>
    <mergeCell ref="C12:G12"/>
    <mergeCell ref="C24:D24"/>
    <mergeCell ref="C26:G26"/>
    <mergeCell ref="C27:D27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3:F38"/>
  <sheetViews>
    <sheetView workbookViewId="0" topLeftCell="A1"/>
  </sheetViews>
  <sheetFormatPr defaultColWidth="9.00390625" defaultRowHeight="12.75"/>
  <cols>
    <col min="2" max="2" width="45.375" style="0" customWidth="1"/>
  </cols>
  <sheetData>
    <row r="3" spans="1:6" ht="15.6">
      <c r="A3" s="614"/>
      <c r="B3" s="615" t="s">
        <v>1065</v>
      </c>
      <c r="C3" s="616"/>
      <c r="D3" s="617"/>
      <c r="E3" s="617"/>
      <c r="F3" s="616"/>
    </row>
    <row r="4" spans="1:6" ht="12.75">
      <c r="A4" s="614"/>
      <c r="B4" s="618"/>
      <c r="C4" s="616"/>
      <c r="D4" s="617"/>
      <c r="E4" s="617"/>
      <c r="F4" s="616"/>
    </row>
    <row r="5" spans="1:6" ht="13.8">
      <c r="A5" s="614"/>
      <c r="B5" s="619" t="s">
        <v>1066</v>
      </c>
      <c r="C5" s="616"/>
      <c r="D5" s="617"/>
      <c r="E5" s="617"/>
      <c r="F5" s="616"/>
    </row>
    <row r="6" spans="1:6" ht="12.75">
      <c r="A6" s="614"/>
      <c r="B6" s="618"/>
      <c r="C6" s="616"/>
      <c r="D6" s="617"/>
      <c r="E6" s="617"/>
      <c r="F6" s="616"/>
    </row>
    <row r="7" spans="1:6" ht="12.75">
      <c r="A7" s="614"/>
      <c r="B7" s="620" t="s">
        <v>1128</v>
      </c>
      <c r="C7" s="616"/>
      <c r="D7" s="617"/>
      <c r="E7" s="617"/>
      <c r="F7" s="616"/>
    </row>
    <row r="8" spans="1:6" ht="12.75">
      <c r="A8" s="614"/>
      <c r="B8" s="616" t="s">
        <v>1068</v>
      </c>
      <c r="C8" s="616"/>
      <c r="D8" s="621"/>
      <c r="E8" s="622" t="s">
        <v>1069</v>
      </c>
      <c r="F8" s="616"/>
    </row>
    <row r="9" spans="1:6" ht="12.75">
      <c r="A9" s="623" t="s">
        <v>1070</v>
      </c>
      <c r="B9" s="624" t="s">
        <v>1071</v>
      </c>
      <c r="C9" s="624" t="s">
        <v>1072</v>
      </c>
      <c r="D9" s="625" t="s">
        <v>133</v>
      </c>
      <c r="E9" s="625" t="s">
        <v>1042</v>
      </c>
      <c r="F9" s="626" t="s">
        <v>1129</v>
      </c>
    </row>
    <row r="10" spans="1:6" ht="12.75">
      <c r="A10" s="627"/>
      <c r="B10" s="628"/>
      <c r="C10" s="629"/>
      <c r="D10" s="630"/>
      <c r="E10" s="630"/>
      <c r="F10" s="631"/>
    </row>
    <row r="11" spans="1:6" ht="12.75">
      <c r="A11" s="636">
        <v>7300001</v>
      </c>
      <c r="B11" s="637" t="s">
        <v>1130</v>
      </c>
      <c r="C11" s="634" t="s">
        <v>231</v>
      </c>
      <c r="D11" s="638">
        <v>25</v>
      </c>
      <c r="E11" s="638"/>
      <c r="F11" s="635">
        <f aca="true" t="shared" si="0" ref="F11:F35">D11*E11</f>
        <v>0</v>
      </c>
    </row>
    <row r="12" spans="1:6" ht="12.75">
      <c r="A12" s="636">
        <v>7300002</v>
      </c>
      <c r="B12" s="637" t="s">
        <v>1131</v>
      </c>
      <c r="C12" s="634" t="s">
        <v>231</v>
      </c>
      <c r="D12" s="638">
        <v>18</v>
      </c>
      <c r="E12" s="638"/>
      <c r="F12" s="635">
        <f t="shared" si="0"/>
        <v>0</v>
      </c>
    </row>
    <row r="13" spans="1:6" ht="12.75">
      <c r="A13" s="636">
        <v>7300003</v>
      </c>
      <c r="B13" s="647" t="s">
        <v>1101</v>
      </c>
      <c r="C13" s="634" t="s">
        <v>757</v>
      </c>
      <c r="D13" s="638">
        <v>30</v>
      </c>
      <c r="E13" s="638"/>
      <c r="F13" s="635">
        <f t="shared" si="0"/>
        <v>0</v>
      </c>
    </row>
    <row r="14" spans="1:6" ht="12.75">
      <c r="A14" s="636">
        <v>7300004</v>
      </c>
      <c r="B14" s="637" t="s">
        <v>1132</v>
      </c>
      <c r="C14" s="634" t="s">
        <v>231</v>
      </c>
      <c r="D14" s="638">
        <v>25</v>
      </c>
      <c r="E14" s="638"/>
      <c r="F14" s="635">
        <f t="shared" si="0"/>
        <v>0</v>
      </c>
    </row>
    <row r="15" spans="1:6" ht="12.75">
      <c r="A15" s="636">
        <v>7300005</v>
      </c>
      <c r="B15" s="637" t="s">
        <v>1133</v>
      </c>
      <c r="C15" s="634" t="s">
        <v>231</v>
      </c>
      <c r="D15" s="638">
        <v>18</v>
      </c>
      <c r="E15" s="638"/>
      <c r="F15" s="635">
        <f t="shared" si="0"/>
        <v>0</v>
      </c>
    </row>
    <row r="16" spans="1:6" ht="12.75">
      <c r="A16" s="636">
        <v>7300006</v>
      </c>
      <c r="B16" s="637" t="s">
        <v>1134</v>
      </c>
      <c r="C16" s="634" t="s">
        <v>757</v>
      </c>
      <c r="D16" s="638">
        <v>1</v>
      </c>
      <c r="E16" s="638"/>
      <c r="F16" s="635">
        <f t="shared" si="0"/>
        <v>0</v>
      </c>
    </row>
    <row r="17" spans="1:6" ht="12.75">
      <c r="A17" s="636">
        <v>7300007</v>
      </c>
      <c r="B17" s="637" t="s">
        <v>1135</v>
      </c>
      <c r="C17" s="634" t="s">
        <v>757</v>
      </c>
      <c r="D17" s="638">
        <v>1</v>
      </c>
      <c r="E17" s="638"/>
      <c r="F17" s="635">
        <f t="shared" si="0"/>
        <v>0</v>
      </c>
    </row>
    <row r="18" spans="1:6" ht="12.75">
      <c r="A18" s="636">
        <v>7300008</v>
      </c>
      <c r="B18" s="637" t="s">
        <v>1136</v>
      </c>
      <c r="C18" s="634" t="s">
        <v>757</v>
      </c>
      <c r="D18" s="638">
        <v>1</v>
      </c>
      <c r="E18" s="638"/>
      <c r="F18" s="635">
        <f t="shared" si="0"/>
        <v>0</v>
      </c>
    </row>
    <row r="19" spans="1:6" ht="12.75">
      <c r="A19" s="636">
        <v>7300009</v>
      </c>
      <c r="B19" s="637" t="s">
        <v>1137</v>
      </c>
      <c r="C19" s="634" t="s">
        <v>757</v>
      </c>
      <c r="D19" s="638">
        <v>2</v>
      </c>
      <c r="E19" s="638"/>
      <c r="F19" s="635">
        <f t="shared" si="0"/>
        <v>0</v>
      </c>
    </row>
    <row r="20" spans="1:6" ht="12.75">
      <c r="A20" s="636">
        <v>7300010</v>
      </c>
      <c r="B20" s="634" t="s">
        <v>1138</v>
      </c>
      <c r="C20" s="634" t="s">
        <v>757</v>
      </c>
      <c r="D20" s="638">
        <f>SUM(D16:D19)</f>
        <v>5</v>
      </c>
      <c r="E20" s="638"/>
      <c r="F20" s="635">
        <f t="shared" si="0"/>
        <v>0</v>
      </c>
    </row>
    <row r="21" spans="1:6" ht="12.75">
      <c r="A21" s="636">
        <v>7300011</v>
      </c>
      <c r="B21" s="637" t="s">
        <v>1139</v>
      </c>
      <c r="C21" s="634" t="s">
        <v>757</v>
      </c>
      <c r="D21" s="638">
        <f>SUM(D20)</f>
        <v>5</v>
      </c>
      <c r="E21" s="638"/>
      <c r="F21" s="635">
        <f t="shared" si="0"/>
        <v>0</v>
      </c>
    </row>
    <row r="22" spans="1:6" ht="12.75">
      <c r="A22" s="636">
        <v>7300012</v>
      </c>
      <c r="B22" s="637" t="s">
        <v>1140</v>
      </c>
      <c r="C22" s="634" t="s">
        <v>757</v>
      </c>
      <c r="D22" s="638">
        <v>12</v>
      </c>
      <c r="E22" s="638"/>
      <c r="F22" s="635">
        <f t="shared" si="0"/>
        <v>0</v>
      </c>
    </row>
    <row r="23" spans="1:6" ht="12.75">
      <c r="A23" s="636">
        <v>7300013</v>
      </c>
      <c r="B23" s="637" t="s">
        <v>1141</v>
      </c>
      <c r="C23" s="634" t="s">
        <v>757</v>
      </c>
      <c r="D23" s="638">
        <v>1</v>
      </c>
      <c r="E23" s="638"/>
      <c r="F23" s="635">
        <f t="shared" si="0"/>
        <v>0</v>
      </c>
    </row>
    <row r="24" spans="1:6" ht="12.75">
      <c r="A24" s="636">
        <v>7300014</v>
      </c>
      <c r="B24" s="637" t="s">
        <v>1142</v>
      </c>
      <c r="C24" s="634" t="s">
        <v>757</v>
      </c>
      <c r="D24" s="638">
        <v>3</v>
      </c>
      <c r="E24" s="638"/>
      <c r="F24" s="635">
        <f t="shared" si="0"/>
        <v>0</v>
      </c>
    </row>
    <row r="25" spans="1:6" ht="12.75">
      <c r="A25" s="636">
        <v>7300015</v>
      </c>
      <c r="B25" s="637" t="s">
        <v>1143</v>
      </c>
      <c r="C25" s="634" t="s">
        <v>757</v>
      </c>
      <c r="D25" s="638">
        <v>1</v>
      </c>
      <c r="E25" s="638"/>
      <c r="F25" s="635">
        <f>D25*E25</f>
        <v>0</v>
      </c>
    </row>
    <row r="26" spans="1:6" ht="12.75">
      <c r="A26" s="636">
        <v>7300016</v>
      </c>
      <c r="B26" s="637" t="s">
        <v>1144</v>
      </c>
      <c r="C26" s="634" t="s">
        <v>757</v>
      </c>
      <c r="D26" s="638">
        <v>1</v>
      </c>
      <c r="E26" s="638"/>
      <c r="F26" s="635">
        <f t="shared" si="0"/>
        <v>0</v>
      </c>
    </row>
    <row r="27" spans="1:6" ht="12.75">
      <c r="A27" s="636">
        <v>7300016</v>
      </c>
      <c r="B27" s="637" t="s">
        <v>1113</v>
      </c>
      <c r="C27" s="634" t="s">
        <v>757</v>
      </c>
      <c r="D27" s="638">
        <v>1</v>
      </c>
      <c r="E27" s="638"/>
      <c r="F27" s="635">
        <f t="shared" si="0"/>
        <v>0</v>
      </c>
    </row>
    <row r="28" spans="1:6" ht="12.75">
      <c r="A28" s="636">
        <v>7300017</v>
      </c>
      <c r="B28" s="637" t="s">
        <v>1145</v>
      </c>
      <c r="C28" s="634" t="s">
        <v>757</v>
      </c>
      <c r="D28" s="638">
        <v>1</v>
      </c>
      <c r="E28" s="638"/>
      <c r="F28" s="635">
        <f t="shared" si="0"/>
        <v>0</v>
      </c>
    </row>
    <row r="29" spans="1:6" ht="12.75">
      <c r="A29" s="636">
        <v>7300018</v>
      </c>
      <c r="B29" s="637" t="s">
        <v>1146</v>
      </c>
      <c r="C29" s="634" t="s">
        <v>757</v>
      </c>
      <c r="D29" s="638">
        <v>1</v>
      </c>
      <c r="E29" s="638"/>
      <c r="F29" s="635">
        <f t="shared" si="0"/>
        <v>0</v>
      </c>
    </row>
    <row r="30" spans="1:6" ht="12.75">
      <c r="A30" s="636">
        <v>7300019</v>
      </c>
      <c r="B30" s="637" t="s">
        <v>1147</v>
      </c>
      <c r="C30" s="634" t="s">
        <v>757</v>
      </c>
      <c r="D30" s="638">
        <v>2</v>
      </c>
      <c r="E30" s="638"/>
      <c r="F30" s="635">
        <f t="shared" si="0"/>
        <v>0</v>
      </c>
    </row>
    <row r="31" spans="1:6" ht="12.75">
      <c r="A31" s="641">
        <v>7300020</v>
      </c>
      <c r="B31" s="637" t="s">
        <v>1148</v>
      </c>
      <c r="C31" s="637" t="s">
        <v>231</v>
      </c>
      <c r="D31" s="642">
        <f>SUM(D11:D12)</f>
        <v>43</v>
      </c>
      <c r="E31" s="642"/>
      <c r="F31" s="635">
        <f t="shared" si="0"/>
        <v>0</v>
      </c>
    </row>
    <row r="32" spans="1:6" ht="12.75">
      <c r="A32" s="641">
        <v>7300021</v>
      </c>
      <c r="B32" s="637" t="s">
        <v>1149</v>
      </c>
      <c r="C32" s="637" t="s">
        <v>757</v>
      </c>
      <c r="D32" s="642">
        <f>SUM(D16:D19)</f>
        <v>5</v>
      </c>
      <c r="E32" s="642"/>
      <c r="F32" s="635">
        <f t="shared" si="0"/>
        <v>0</v>
      </c>
    </row>
    <row r="33" spans="1:6" ht="12.75">
      <c r="A33" s="641">
        <v>7300022</v>
      </c>
      <c r="B33" s="637" t="s">
        <v>1150</v>
      </c>
      <c r="C33" s="637" t="s">
        <v>1096</v>
      </c>
      <c r="D33" s="642">
        <v>1</v>
      </c>
      <c r="E33" s="642"/>
      <c r="F33" s="635">
        <f t="shared" si="0"/>
        <v>0</v>
      </c>
    </row>
    <row r="34" spans="1:6" ht="12.75">
      <c r="A34" s="641">
        <v>7300023</v>
      </c>
      <c r="B34" s="637" t="s">
        <v>1093</v>
      </c>
      <c r="C34" s="637" t="s">
        <v>231</v>
      </c>
      <c r="D34" s="642">
        <f>SUM(D31)</f>
        <v>43</v>
      </c>
      <c r="E34" s="642"/>
      <c r="F34" s="635">
        <f t="shared" si="0"/>
        <v>0</v>
      </c>
    </row>
    <row r="35" spans="1:6" ht="12.75">
      <c r="A35" s="641">
        <v>7220020</v>
      </c>
      <c r="B35" s="640" t="s">
        <v>1095</v>
      </c>
      <c r="C35" s="637" t="s">
        <v>1096</v>
      </c>
      <c r="D35" s="642">
        <v>1</v>
      </c>
      <c r="E35" s="642"/>
      <c r="F35" s="635">
        <f t="shared" si="0"/>
        <v>0</v>
      </c>
    </row>
    <row r="36" spans="1:6" ht="12.75">
      <c r="A36" s="627"/>
      <c r="B36" s="637"/>
      <c r="C36" s="637"/>
      <c r="D36" s="642"/>
      <c r="E36" s="642"/>
      <c r="F36" s="648"/>
    </row>
    <row r="37" spans="1:6" ht="12.75">
      <c r="A37" s="627"/>
      <c r="B37" s="637"/>
      <c r="C37" s="637"/>
      <c r="D37" s="642"/>
      <c r="E37" s="642"/>
      <c r="F37" s="649">
        <f>SUM(F11:F36)</f>
        <v>0</v>
      </c>
    </row>
    <row r="38" spans="1:6" ht="12.75">
      <c r="A38" s="627"/>
      <c r="B38" s="637"/>
      <c r="C38" s="637"/>
      <c r="D38" s="642"/>
      <c r="E38" s="642"/>
      <c r="F38" s="648"/>
    </row>
  </sheetData>
  <printOptions/>
  <pageMargins left="0.7" right="0.7" top="0.787401575" bottom="0.787401575" header="0.3" footer="0.3"/>
  <pageSetup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3:E48"/>
  <sheetViews>
    <sheetView workbookViewId="0" topLeftCell="A1"/>
  </sheetViews>
  <sheetFormatPr defaultColWidth="9.00390625" defaultRowHeight="12.75"/>
  <cols>
    <col min="2" max="2" width="36.00390625" style="0" customWidth="1"/>
    <col min="4" max="4" width="15.875" style="0" customWidth="1"/>
    <col min="6" max="6" width="14.125" style="0" customWidth="1"/>
  </cols>
  <sheetData>
    <row r="3" spans="1:5" ht="16.2" thickBot="1">
      <c r="A3" s="650" t="s">
        <v>1151</v>
      </c>
      <c r="B3" s="651"/>
      <c r="C3" s="652"/>
      <c r="D3" s="653"/>
      <c r="E3" s="654"/>
    </row>
    <row r="4" spans="1:5" ht="16.2" thickBot="1">
      <c r="A4" s="655" t="s">
        <v>1152</v>
      </c>
      <c r="B4" s="656" t="s">
        <v>1153</v>
      </c>
      <c r="C4" s="657" t="s">
        <v>1154</v>
      </c>
      <c r="D4" s="656" t="s">
        <v>72</v>
      </c>
      <c r="E4" s="658" t="s">
        <v>71</v>
      </c>
    </row>
    <row r="5" spans="1:5" ht="12.75">
      <c r="A5" s="659"/>
      <c r="B5" s="660"/>
      <c r="C5" s="661"/>
      <c r="D5" s="662"/>
      <c r="E5" s="663"/>
    </row>
    <row r="6" spans="1:5" ht="12.75">
      <c r="A6" s="664" t="s">
        <v>1155</v>
      </c>
      <c r="B6" s="660" t="s">
        <v>1156</v>
      </c>
      <c r="C6" s="661" t="s">
        <v>1157</v>
      </c>
      <c r="D6" s="662"/>
      <c r="E6" s="663"/>
    </row>
    <row r="7" spans="1:5" ht="12.75">
      <c r="A7" s="664"/>
      <c r="B7" s="660" t="s">
        <v>1158</v>
      </c>
      <c r="C7" s="661"/>
      <c r="D7" s="662"/>
      <c r="E7" s="663"/>
    </row>
    <row r="8" spans="1:5" ht="12.75">
      <c r="A8" s="664"/>
      <c r="B8" s="660" t="s">
        <v>1159</v>
      </c>
      <c r="C8" s="661"/>
      <c r="D8" s="662"/>
      <c r="E8" s="663"/>
    </row>
    <row r="9" spans="1:5" ht="12.75">
      <c r="A9" s="664"/>
      <c r="B9" s="660" t="s">
        <v>1160</v>
      </c>
      <c r="C9" s="661"/>
      <c r="D9" s="662"/>
      <c r="E9" s="663"/>
    </row>
    <row r="10" spans="1:5" ht="12.75">
      <c r="A10" s="664"/>
      <c r="B10" s="660" t="s">
        <v>1161</v>
      </c>
      <c r="C10" s="661" t="s">
        <v>1157</v>
      </c>
      <c r="D10" s="662"/>
      <c r="E10" s="663"/>
    </row>
    <row r="11" spans="1:5" ht="12.75">
      <c r="A11" s="664"/>
      <c r="B11" s="665"/>
      <c r="C11" s="661"/>
      <c r="D11" s="662"/>
      <c r="E11" s="663"/>
    </row>
    <row r="12" spans="1:5" ht="12.75">
      <c r="A12" s="664" t="s">
        <v>183</v>
      </c>
      <c r="B12" s="660" t="s">
        <v>1162</v>
      </c>
      <c r="C12" s="661" t="s">
        <v>1163</v>
      </c>
      <c r="D12" s="662"/>
      <c r="E12" s="663"/>
    </row>
    <row r="13" spans="1:5" ht="12.75">
      <c r="A13" s="664"/>
      <c r="B13" s="660"/>
      <c r="C13" s="661"/>
      <c r="D13" s="662"/>
      <c r="E13" s="663"/>
    </row>
    <row r="14" spans="1:5" ht="12.75">
      <c r="A14" s="664" t="s">
        <v>188</v>
      </c>
      <c r="B14" s="660" t="s">
        <v>1164</v>
      </c>
      <c r="C14" s="661" t="s">
        <v>1165</v>
      </c>
      <c r="D14" s="662"/>
      <c r="E14" s="663"/>
    </row>
    <row r="15" spans="1:5" ht="12.75">
      <c r="A15" s="664"/>
      <c r="B15" s="660" t="s">
        <v>1166</v>
      </c>
      <c r="C15" s="661"/>
      <c r="D15" s="662"/>
      <c r="E15" s="663"/>
    </row>
    <row r="16" spans="1:5" ht="12.75">
      <c r="A16" s="664"/>
      <c r="B16" s="660" t="s">
        <v>1167</v>
      </c>
      <c r="C16" s="661"/>
      <c r="D16" s="662"/>
      <c r="E16" s="663"/>
    </row>
    <row r="17" spans="1:5" ht="12.75">
      <c r="A17" s="664"/>
      <c r="B17" s="660"/>
      <c r="C17" s="661"/>
      <c r="D17" s="662"/>
      <c r="E17" s="663"/>
    </row>
    <row r="18" spans="1:5" ht="12.75">
      <c r="A18" s="664" t="s">
        <v>463</v>
      </c>
      <c r="B18" s="660" t="s">
        <v>1164</v>
      </c>
      <c r="C18" s="661" t="s">
        <v>1165</v>
      </c>
      <c r="D18" s="662"/>
      <c r="E18" s="663"/>
    </row>
    <row r="19" spans="1:5" ht="12.75">
      <c r="A19" s="664"/>
      <c r="B19" s="660" t="s">
        <v>1166</v>
      </c>
      <c r="C19" s="661"/>
      <c r="D19" s="662"/>
      <c r="E19" s="663"/>
    </row>
    <row r="20" spans="1:5" ht="12.75">
      <c r="A20" s="664"/>
      <c r="B20" s="660" t="s">
        <v>1168</v>
      </c>
      <c r="C20" s="661"/>
      <c r="D20" s="662"/>
      <c r="E20" s="663"/>
    </row>
    <row r="21" spans="1:5" ht="12.75">
      <c r="A21" s="664"/>
      <c r="B21" s="660"/>
      <c r="C21" s="661"/>
      <c r="D21" s="662"/>
      <c r="E21" s="663"/>
    </row>
    <row r="22" spans="1:5" ht="12.75">
      <c r="A22" s="664" t="s">
        <v>462</v>
      </c>
      <c r="B22" s="660" t="s">
        <v>1169</v>
      </c>
      <c r="C22" s="661" t="s">
        <v>1170</v>
      </c>
      <c r="D22" s="662"/>
      <c r="E22" s="663"/>
    </row>
    <row r="23" spans="1:5" ht="12.75">
      <c r="A23" s="664"/>
      <c r="B23" s="660" t="s">
        <v>1166</v>
      </c>
      <c r="C23" s="661"/>
      <c r="D23" s="662"/>
      <c r="E23" s="663"/>
    </row>
    <row r="24" spans="1:5" ht="12.75">
      <c r="A24" s="664"/>
      <c r="B24" s="660" t="s">
        <v>1171</v>
      </c>
      <c r="C24" s="661"/>
      <c r="D24" s="662"/>
      <c r="E24" s="663"/>
    </row>
    <row r="25" spans="1:5" ht="12.75">
      <c r="A25" s="664"/>
      <c r="B25" s="660"/>
      <c r="C25" s="661"/>
      <c r="D25" s="662"/>
      <c r="E25" s="663"/>
    </row>
    <row r="26" spans="1:5" ht="12.75">
      <c r="A26" s="664" t="s">
        <v>461</v>
      </c>
      <c r="B26" s="660" t="s">
        <v>1172</v>
      </c>
      <c r="C26" s="661" t="s">
        <v>1165</v>
      </c>
      <c r="D26" s="662"/>
      <c r="E26" s="663"/>
    </row>
    <row r="27" spans="1:5" ht="12.75">
      <c r="A27" s="664"/>
      <c r="B27" s="660"/>
      <c r="C27" s="661"/>
      <c r="D27" s="662"/>
      <c r="E27" s="663"/>
    </row>
    <row r="28" spans="1:5" ht="12.75">
      <c r="A28" s="664" t="s">
        <v>460</v>
      </c>
      <c r="B28" s="665" t="s">
        <v>1173</v>
      </c>
      <c r="C28" s="661" t="s">
        <v>1174</v>
      </c>
      <c r="D28" s="662"/>
      <c r="E28" s="663"/>
    </row>
    <row r="29" spans="1:5" ht="12.75">
      <c r="A29" s="664"/>
      <c r="B29" s="660" t="s">
        <v>1175</v>
      </c>
      <c r="C29" s="661"/>
      <c r="D29" s="662"/>
      <c r="E29" s="663"/>
    </row>
    <row r="30" spans="1:5" ht="12.75">
      <c r="A30" s="664"/>
      <c r="B30" s="660"/>
      <c r="C30" s="661"/>
      <c r="D30" s="662"/>
      <c r="E30" s="663"/>
    </row>
    <row r="31" spans="1:5" ht="12.75">
      <c r="A31" s="664" t="s">
        <v>459</v>
      </c>
      <c r="B31" s="660" t="s">
        <v>1176</v>
      </c>
      <c r="C31" s="661"/>
      <c r="D31" s="662"/>
      <c r="E31" s="663"/>
    </row>
    <row r="32" spans="1:5" ht="12.75">
      <c r="A32" s="664"/>
      <c r="B32" s="660" t="s">
        <v>1177</v>
      </c>
      <c r="C32" s="661"/>
      <c r="D32" s="662"/>
      <c r="E32" s="663"/>
    </row>
    <row r="33" spans="1:5" ht="12.75">
      <c r="A33" s="664"/>
      <c r="B33" s="660" t="s">
        <v>1178</v>
      </c>
      <c r="C33" s="661" t="s">
        <v>1179</v>
      </c>
      <c r="D33" s="662"/>
      <c r="E33" s="663"/>
    </row>
    <row r="34" spans="1:5" ht="12.75">
      <c r="A34" s="664"/>
      <c r="B34" s="660" t="s">
        <v>1180</v>
      </c>
      <c r="C34" s="661" t="s">
        <v>1181</v>
      </c>
      <c r="D34" s="662"/>
      <c r="E34" s="663"/>
    </row>
    <row r="35" spans="1:5" ht="12.75">
      <c r="A35" s="664"/>
      <c r="B35" s="660" t="s">
        <v>1182</v>
      </c>
      <c r="C35" s="661" t="s">
        <v>1183</v>
      </c>
      <c r="D35" s="662"/>
      <c r="E35" s="663"/>
    </row>
    <row r="36" spans="1:5" ht="12.75">
      <c r="A36" s="664"/>
      <c r="B36" s="660"/>
      <c r="C36" s="661"/>
      <c r="D36" s="662"/>
      <c r="E36" s="663"/>
    </row>
    <row r="37" spans="1:5" ht="12.75">
      <c r="A37" s="664"/>
      <c r="B37" s="666" t="s">
        <v>1184</v>
      </c>
      <c r="C37" s="661"/>
      <c r="D37" s="662"/>
      <c r="E37" s="663"/>
    </row>
    <row r="38" spans="1:5" ht="12.75">
      <c r="A38" s="664"/>
      <c r="B38" s="660" t="s">
        <v>1185</v>
      </c>
      <c r="C38" s="661" t="s">
        <v>1186</v>
      </c>
      <c r="D38" s="662"/>
      <c r="E38" s="663"/>
    </row>
    <row r="39" spans="1:5" ht="12.75">
      <c r="A39" s="664"/>
      <c r="B39" s="665"/>
      <c r="C39" s="661"/>
      <c r="D39" s="662"/>
      <c r="E39" s="663"/>
    </row>
    <row r="40" spans="1:5" ht="12.75">
      <c r="A40" s="664"/>
      <c r="B40" s="660"/>
      <c r="C40" s="661"/>
      <c r="D40" s="662"/>
      <c r="E40" s="663"/>
    </row>
    <row r="41" spans="1:5" ht="12.75">
      <c r="A41" s="664"/>
      <c r="B41" s="667" t="s">
        <v>72</v>
      </c>
      <c r="C41" s="668"/>
      <c r="D41" s="669">
        <v>0</v>
      </c>
      <c r="E41" s="663"/>
    </row>
    <row r="42" spans="1:5" ht="12.75">
      <c r="A42" s="664"/>
      <c r="B42" s="667" t="s">
        <v>71</v>
      </c>
      <c r="C42" s="668"/>
      <c r="D42" s="669">
        <v>0</v>
      </c>
      <c r="E42" s="663"/>
    </row>
    <row r="43" spans="1:5" ht="12.75">
      <c r="A43" s="664"/>
      <c r="B43" s="667" t="s">
        <v>1095</v>
      </c>
      <c r="C43" s="668"/>
      <c r="D43" s="669">
        <v>0</v>
      </c>
      <c r="E43" s="663"/>
    </row>
    <row r="44" spans="1:5" ht="12.75">
      <c r="A44" s="664"/>
      <c r="B44" s="670" t="s">
        <v>1187</v>
      </c>
      <c r="C44" s="668"/>
      <c r="D44" s="669">
        <v>0</v>
      </c>
      <c r="E44" s="663"/>
    </row>
    <row r="45" spans="1:5" ht="12.75">
      <c r="A45" s="664"/>
      <c r="B45" s="670"/>
      <c r="C45" s="668"/>
      <c r="D45" s="671"/>
      <c r="E45" s="663"/>
    </row>
    <row r="46" spans="1:5" ht="12.75">
      <c r="A46" s="664"/>
      <c r="B46" s="670" t="s">
        <v>1188</v>
      </c>
      <c r="C46" s="668"/>
      <c r="D46" s="669">
        <f>D41+D42+D43+D44</f>
        <v>0</v>
      </c>
      <c r="E46" s="663"/>
    </row>
    <row r="47" spans="1:5" ht="12.75">
      <c r="A47" s="664"/>
      <c r="B47" s="660"/>
      <c r="C47" s="661"/>
      <c r="D47" s="662"/>
      <c r="E47" s="663"/>
    </row>
    <row r="48" spans="1:5" ht="13.8" thickBot="1">
      <c r="A48" s="672"/>
      <c r="B48" s="673"/>
      <c r="C48" s="674"/>
      <c r="D48" s="675"/>
      <c r="E48" s="67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2:F74"/>
  <sheetViews>
    <sheetView workbookViewId="0" topLeftCell="A1"/>
  </sheetViews>
  <sheetFormatPr defaultColWidth="9.00390625" defaultRowHeight="12.75"/>
  <cols>
    <col min="2" max="2" width="44.125" style="0" customWidth="1"/>
    <col min="6" max="6" width="11.125" style="0" customWidth="1"/>
  </cols>
  <sheetData>
    <row r="2" spans="1:6" ht="15.6">
      <c r="A2" s="614"/>
      <c r="B2" s="615" t="s">
        <v>1065</v>
      </c>
      <c r="C2" s="616"/>
      <c r="D2" s="617"/>
      <c r="E2" s="617"/>
      <c r="F2" s="616"/>
    </row>
    <row r="3" spans="1:6" ht="12.75">
      <c r="A3" s="614"/>
      <c r="B3" s="618"/>
      <c r="C3" s="616"/>
      <c r="D3" s="617"/>
      <c r="E3" s="617"/>
      <c r="F3" s="616"/>
    </row>
    <row r="4" spans="1:6" ht="13.8">
      <c r="A4" s="614"/>
      <c r="B4" s="619" t="s">
        <v>1066</v>
      </c>
      <c r="C4" s="616"/>
      <c r="D4" s="617"/>
      <c r="E4" s="617"/>
      <c r="F4" s="616"/>
    </row>
    <row r="5" spans="1:6" ht="12.75">
      <c r="A5" s="614"/>
      <c r="B5" s="618"/>
      <c r="C5" s="616"/>
      <c r="D5" s="617"/>
      <c r="E5" s="617"/>
      <c r="F5" s="616"/>
    </row>
    <row r="6" spans="1:6" ht="12.75">
      <c r="A6" s="614"/>
      <c r="B6" s="620" t="s">
        <v>1067</v>
      </c>
      <c r="C6" s="616"/>
      <c r="D6" s="617"/>
      <c r="E6" s="617"/>
      <c r="F6" s="616"/>
    </row>
    <row r="7" spans="1:6" ht="12.75">
      <c r="A7" s="614"/>
      <c r="B7" s="616" t="s">
        <v>1068</v>
      </c>
      <c r="C7" s="616"/>
      <c r="D7" s="621"/>
      <c r="E7" s="622" t="s">
        <v>1069</v>
      </c>
      <c r="F7" s="616"/>
    </row>
    <row r="8" spans="1:6" ht="12.75">
      <c r="A8" s="623" t="s">
        <v>1070</v>
      </c>
      <c r="B8" s="624" t="s">
        <v>1071</v>
      </c>
      <c r="C8" s="624" t="s">
        <v>1072</v>
      </c>
      <c r="D8" s="625" t="s">
        <v>133</v>
      </c>
      <c r="E8" s="625" t="s">
        <v>1042</v>
      </c>
      <c r="F8" s="626" t="s">
        <v>1073</v>
      </c>
    </row>
    <row r="9" spans="1:6" ht="12.75">
      <c r="A9" s="627"/>
      <c r="B9" s="628"/>
      <c r="C9" s="629"/>
      <c r="D9" s="630"/>
      <c r="E9" s="630"/>
      <c r="F9" s="631"/>
    </row>
    <row r="10" spans="1:6" ht="12.75">
      <c r="A10" s="632"/>
      <c r="B10" s="633" t="s">
        <v>1074</v>
      </c>
      <c r="C10" s="634"/>
      <c r="D10" s="634"/>
      <c r="E10" s="634"/>
      <c r="F10" s="635"/>
    </row>
    <row r="11" spans="1:6" ht="12.75">
      <c r="A11" s="636">
        <v>7210001</v>
      </c>
      <c r="B11" s="637" t="s">
        <v>1075</v>
      </c>
      <c r="C11" s="634" t="s">
        <v>231</v>
      </c>
      <c r="D11" s="638">
        <v>8</v>
      </c>
      <c r="E11" s="638"/>
      <c r="F11" s="635">
        <f aca="true" t="shared" si="0" ref="F11:F34">D11*E11</f>
        <v>0</v>
      </c>
    </row>
    <row r="12" spans="1:6" ht="12.75">
      <c r="A12" s="636">
        <v>7210002</v>
      </c>
      <c r="B12" s="637" t="s">
        <v>1076</v>
      </c>
      <c r="C12" s="634" t="s">
        <v>231</v>
      </c>
      <c r="D12" s="638">
        <v>2</v>
      </c>
      <c r="E12" s="638"/>
      <c r="F12" s="635">
        <f>D12*E12</f>
        <v>0</v>
      </c>
    </row>
    <row r="13" spans="1:6" ht="12.75">
      <c r="A13" s="636">
        <v>7210003</v>
      </c>
      <c r="B13" s="637" t="s">
        <v>1077</v>
      </c>
      <c r="C13" s="634" t="s">
        <v>231</v>
      </c>
      <c r="D13" s="638">
        <v>10</v>
      </c>
      <c r="E13" s="638"/>
      <c r="F13" s="635">
        <f>D13*E13</f>
        <v>0</v>
      </c>
    </row>
    <row r="14" spans="1:6" ht="12.75">
      <c r="A14" s="636">
        <v>7210004</v>
      </c>
      <c r="B14" s="637" t="s">
        <v>1078</v>
      </c>
      <c r="C14" s="634" t="s">
        <v>757</v>
      </c>
      <c r="D14" s="638">
        <v>6</v>
      </c>
      <c r="E14" s="638"/>
      <c r="F14" s="635">
        <f t="shared" si="0"/>
        <v>0</v>
      </c>
    </row>
    <row r="15" spans="1:6" ht="12.75">
      <c r="A15" s="636">
        <v>7210005</v>
      </c>
      <c r="B15" s="637" t="s">
        <v>1079</v>
      </c>
      <c r="C15" s="634" t="s">
        <v>757</v>
      </c>
      <c r="D15" s="638">
        <v>12</v>
      </c>
      <c r="E15" s="638"/>
      <c r="F15" s="635">
        <f t="shared" si="0"/>
        <v>0</v>
      </c>
    </row>
    <row r="16" spans="1:6" ht="12.75">
      <c r="A16" s="636">
        <v>7210006</v>
      </c>
      <c r="B16" s="637" t="s">
        <v>1080</v>
      </c>
      <c r="C16" s="634" t="s">
        <v>757</v>
      </c>
      <c r="D16" s="638">
        <v>1</v>
      </c>
      <c r="E16" s="638"/>
      <c r="F16" s="635">
        <f t="shared" si="0"/>
        <v>0</v>
      </c>
    </row>
    <row r="17" spans="1:6" ht="12.75">
      <c r="A17" s="636">
        <v>7210007</v>
      </c>
      <c r="B17" s="637" t="s">
        <v>1081</v>
      </c>
      <c r="C17" s="634" t="s">
        <v>757</v>
      </c>
      <c r="D17" s="638">
        <v>2</v>
      </c>
      <c r="E17" s="638"/>
      <c r="F17" s="635">
        <f t="shared" si="0"/>
        <v>0</v>
      </c>
    </row>
    <row r="18" spans="1:6" ht="12.75">
      <c r="A18" s="636">
        <v>7210008</v>
      </c>
      <c r="B18" s="637" t="s">
        <v>1082</v>
      </c>
      <c r="C18" s="634" t="s">
        <v>231</v>
      </c>
      <c r="D18" s="638">
        <v>5</v>
      </c>
      <c r="E18" s="638"/>
      <c r="F18" s="635">
        <f t="shared" si="0"/>
        <v>0</v>
      </c>
    </row>
    <row r="19" spans="1:6" ht="12.75">
      <c r="A19" s="636">
        <v>7210009</v>
      </c>
      <c r="B19" s="637" t="s">
        <v>1083</v>
      </c>
      <c r="C19" s="634" t="s">
        <v>231</v>
      </c>
      <c r="D19" s="638">
        <v>12</v>
      </c>
      <c r="E19" s="638"/>
      <c r="F19" s="635">
        <f t="shared" si="0"/>
        <v>0</v>
      </c>
    </row>
    <row r="20" spans="1:6" ht="12.75">
      <c r="A20" s="636">
        <v>7210010</v>
      </c>
      <c r="B20" s="637" t="s">
        <v>1084</v>
      </c>
      <c r="C20" s="634" t="s">
        <v>231</v>
      </c>
      <c r="D20" s="638">
        <v>12</v>
      </c>
      <c r="E20" s="638"/>
      <c r="F20" s="635">
        <f t="shared" si="0"/>
        <v>0</v>
      </c>
    </row>
    <row r="21" spans="1:6" ht="12.75">
      <c r="A21" s="636">
        <v>7210011</v>
      </c>
      <c r="B21" s="637" t="s">
        <v>1085</v>
      </c>
      <c r="C21" s="634" t="s">
        <v>757</v>
      </c>
      <c r="D21" s="638">
        <v>12</v>
      </c>
      <c r="E21" s="638"/>
      <c r="F21" s="635">
        <f t="shared" si="0"/>
        <v>0</v>
      </c>
    </row>
    <row r="22" spans="1:6" ht="12.75">
      <c r="A22" s="636">
        <v>7210012</v>
      </c>
      <c r="B22" s="637" t="s">
        <v>1086</v>
      </c>
      <c r="C22" s="634" t="s">
        <v>757</v>
      </c>
      <c r="D22" s="638">
        <v>30</v>
      </c>
      <c r="E22" s="638"/>
      <c r="F22" s="635">
        <f t="shared" si="0"/>
        <v>0</v>
      </c>
    </row>
    <row r="23" spans="1:6" ht="12.75">
      <c r="A23" s="636">
        <v>7210013</v>
      </c>
      <c r="B23" s="637" t="s">
        <v>1087</v>
      </c>
      <c r="C23" s="634" t="s">
        <v>757</v>
      </c>
      <c r="D23" s="638">
        <v>6</v>
      </c>
      <c r="E23" s="638"/>
      <c r="F23" s="635">
        <f t="shared" si="0"/>
        <v>0</v>
      </c>
    </row>
    <row r="24" spans="1:6" ht="12.75">
      <c r="A24" s="636">
        <v>7210014</v>
      </c>
      <c r="B24" s="637" t="s">
        <v>2689</v>
      </c>
      <c r="C24" s="634" t="s">
        <v>757</v>
      </c>
      <c r="D24" s="638">
        <v>1</v>
      </c>
      <c r="E24" s="638"/>
      <c r="F24" s="635">
        <f t="shared" si="0"/>
        <v>0</v>
      </c>
    </row>
    <row r="25" spans="1:6" ht="12.75">
      <c r="A25" s="636">
        <v>7210015</v>
      </c>
      <c r="B25" s="637" t="s">
        <v>2690</v>
      </c>
      <c r="C25" s="634" t="s">
        <v>757</v>
      </c>
      <c r="D25" s="638">
        <v>1</v>
      </c>
      <c r="E25" s="638"/>
      <c r="F25" s="635">
        <f>D25*E25</f>
        <v>0</v>
      </c>
    </row>
    <row r="26" spans="1:6" ht="12.75">
      <c r="A26" s="636">
        <v>7210016</v>
      </c>
      <c r="B26" s="637" t="s">
        <v>1088</v>
      </c>
      <c r="C26" s="634" t="s">
        <v>757</v>
      </c>
      <c r="D26" s="638">
        <v>5</v>
      </c>
      <c r="E26" s="638"/>
      <c r="F26" s="635">
        <f>D26*E26</f>
        <v>0</v>
      </c>
    </row>
    <row r="27" spans="1:6" ht="12.75">
      <c r="A27" s="636">
        <v>7210017</v>
      </c>
      <c r="B27" s="637" t="s">
        <v>1089</v>
      </c>
      <c r="C27" s="634" t="s">
        <v>757</v>
      </c>
      <c r="D27" s="638">
        <v>3</v>
      </c>
      <c r="E27" s="638"/>
      <c r="F27" s="635">
        <f>D27*E27</f>
        <v>0</v>
      </c>
    </row>
    <row r="28" spans="1:6" ht="12.75">
      <c r="A28" s="636">
        <v>7210018</v>
      </c>
      <c r="B28" s="637" t="s">
        <v>1090</v>
      </c>
      <c r="C28" s="634" t="s">
        <v>757</v>
      </c>
      <c r="D28" s="638">
        <v>1</v>
      </c>
      <c r="E28" s="638"/>
      <c r="F28" s="635">
        <f>D28*E28</f>
        <v>0</v>
      </c>
    </row>
    <row r="29" spans="1:6" ht="12.75">
      <c r="A29" s="636">
        <v>7210019</v>
      </c>
      <c r="B29" s="637" t="s">
        <v>2691</v>
      </c>
      <c r="C29" s="634" t="s">
        <v>757</v>
      </c>
      <c r="D29" s="638">
        <v>2</v>
      </c>
      <c r="E29" s="638"/>
      <c r="F29" s="635">
        <f t="shared" si="0"/>
        <v>0</v>
      </c>
    </row>
    <row r="30" spans="1:6" ht="12.75">
      <c r="A30" s="636">
        <v>7210020</v>
      </c>
      <c r="B30" s="637" t="s">
        <v>1091</v>
      </c>
      <c r="C30" s="634" t="s">
        <v>757</v>
      </c>
      <c r="D30" s="638">
        <v>1</v>
      </c>
      <c r="E30" s="639"/>
      <c r="F30" s="635">
        <f>D30*E30</f>
        <v>0</v>
      </c>
    </row>
    <row r="31" spans="1:6" ht="12.75">
      <c r="A31" s="636">
        <v>7210021</v>
      </c>
      <c r="B31" s="637" t="s">
        <v>1092</v>
      </c>
      <c r="C31" s="634" t="s">
        <v>231</v>
      </c>
      <c r="D31" s="638">
        <f>SUM(D11:D13,D18:D20)</f>
        <v>49</v>
      </c>
      <c r="E31" s="638"/>
      <c r="F31" s="635">
        <f t="shared" si="0"/>
        <v>0</v>
      </c>
    </row>
    <row r="32" spans="1:6" ht="12.75">
      <c r="A32" s="636">
        <v>7210022</v>
      </c>
      <c r="B32" s="637" t="s">
        <v>1093</v>
      </c>
      <c r="C32" s="634" t="s">
        <v>231</v>
      </c>
      <c r="D32" s="638">
        <f>SUM(D31)</f>
        <v>49</v>
      </c>
      <c r="E32" s="638"/>
      <c r="F32" s="635">
        <f t="shared" si="0"/>
        <v>0</v>
      </c>
    </row>
    <row r="33" spans="1:6" ht="12.75">
      <c r="A33" s="636">
        <v>7220023</v>
      </c>
      <c r="B33" s="637" t="s">
        <v>1094</v>
      </c>
      <c r="C33" s="634" t="s">
        <v>231</v>
      </c>
      <c r="D33" s="638">
        <f>SUM(D18:D20)</f>
        <v>29</v>
      </c>
      <c r="E33" s="638"/>
      <c r="F33" s="635">
        <f t="shared" si="0"/>
        <v>0</v>
      </c>
    </row>
    <row r="34" spans="1:6" ht="12.75">
      <c r="A34" s="636">
        <v>7220024</v>
      </c>
      <c r="B34" s="640" t="s">
        <v>1095</v>
      </c>
      <c r="C34" s="634" t="s">
        <v>1096</v>
      </c>
      <c r="D34" s="638">
        <v>1</v>
      </c>
      <c r="E34" s="638"/>
      <c r="F34" s="635">
        <f t="shared" si="0"/>
        <v>0</v>
      </c>
    </row>
    <row r="35" spans="1:6" ht="12.75">
      <c r="A35" s="636"/>
      <c r="B35" s="637"/>
      <c r="C35" s="634"/>
      <c r="D35" s="638"/>
      <c r="E35" s="638"/>
      <c r="F35" s="635"/>
    </row>
    <row r="36" spans="1:6" ht="12.75">
      <c r="A36" s="641"/>
      <c r="B36" s="637"/>
      <c r="C36" s="637"/>
      <c r="D36" s="642"/>
      <c r="E36" s="642"/>
      <c r="F36" s="635"/>
    </row>
    <row r="37" spans="1:6" ht="12.75">
      <c r="A37" s="641">
        <v>7200001</v>
      </c>
      <c r="B37" s="633" t="s">
        <v>1097</v>
      </c>
      <c r="C37" s="637"/>
      <c r="D37" s="642"/>
      <c r="E37" s="642"/>
      <c r="F37" s="635"/>
    </row>
    <row r="38" spans="1:6" ht="12.75">
      <c r="A38" s="641">
        <v>7200002</v>
      </c>
      <c r="B38" s="637" t="s">
        <v>1098</v>
      </c>
      <c r="C38" s="637" t="s">
        <v>231</v>
      </c>
      <c r="D38" s="642">
        <v>10</v>
      </c>
      <c r="E38" s="642"/>
      <c r="F38" s="635">
        <f aca="true" t="shared" si="1" ref="F38:F61">D38*E38</f>
        <v>0</v>
      </c>
    </row>
    <row r="39" spans="1:6" ht="12.75">
      <c r="A39" s="641">
        <v>7200003</v>
      </c>
      <c r="B39" s="637" t="s">
        <v>1099</v>
      </c>
      <c r="C39" s="637" t="s">
        <v>231</v>
      </c>
      <c r="D39" s="642">
        <v>20</v>
      </c>
      <c r="E39" s="642"/>
      <c r="F39" s="635">
        <f t="shared" si="1"/>
        <v>0</v>
      </c>
    </row>
    <row r="40" spans="1:6" ht="12.75">
      <c r="A40" s="641">
        <v>7200004</v>
      </c>
      <c r="B40" s="637" t="s">
        <v>1100</v>
      </c>
      <c r="C40" s="637" t="s">
        <v>231</v>
      </c>
      <c r="D40" s="642">
        <v>10</v>
      </c>
      <c r="E40" s="642"/>
      <c r="F40" s="635">
        <f>D40*E40</f>
        <v>0</v>
      </c>
    </row>
    <row r="41" spans="1:6" ht="12.75">
      <c r="A41" s="641">
        <v>7200005</v>
      </c>
      <c r="B41" s="637" t="s">
        <v>1101</v>
      </c>
      <c r="C41" s="637" t="s">
        <v>757</v>
      </c>
      <c r="D41" s="642">
        <v>80</v>
      </c>
      <c r="E41" s="642"/>
      <c r="F41" s="635">
        <f t="shared" si="1"/>
        <v>0</v>
      </c>
    </row>
    <row r="42" spans="1:6" ht="12.75">
      <c r="A42" s="641">
        <v>7200006</v>
      </c>
      <c r="B42" s="637" t="s">
        <v>1102</v>
      </c>
      <c r="C42" s="637" t="s">
        <v>757</v>
      </c>
      <c r="D42" s="642">
        <v>10</v>
      </c>
      <c r="E42" s="642"/>
      <c r="F42" s="635">
        <f t="shared" si="1"/>
        <v>0</v>
      </c>
    </row>
    <row r="43" spans="1:6" ht="12.75">
      <c r="A43" s="641">
        <v>7200007</v>
      </c>
      <c r="B43" s="637" t="s">
        <v>1103</v>
      </c>
      <c r="C43" s="637" t="s">
        <v>231</v>
      </c>
      <c r="D43" s="642">
        <v>10</v>
      </c>
      <c r="E43" s="642"/>
      <c r="F43" s="635">
        <f t="shared" si="1"/>
        <v>0</v>
      </c>
    </row>
    <row r="44" spans="1:6" ht="12.75">
      <c r="A44" s="641">
        <v>7200008</v>
      </c>
      <c r="B44" s="637" t="s">
        <v>1104</v>
      </c>
      <c r="C44" s="637" t="s">
        <v>231</v>
      </c>
      <c r="D44" s="642">
        <v>20</v>
      </c>
      <c r="E44" s="642"/>
      <c r="F44" s="635">
        <f t="shared" si="1"/>
        <v>0</v>
      </c>
    </row>
    <row r="45" spans="1:6" ht="12.75">
      <c r="A45" s="641">
        <v>7200009</v>
      </c>
      <c r="B45" s="637" t="s">
        <v>1105</v>
      </c>
      <c r="C45" s="637" t="s">
        <v>231</v>
      </c>
      <c r="D45" s="642">
        <v>10</v>
      </c>
      <c r="E45" s="642"/>
      <c r="F45" s="635">
        <f t="shared" si="1"/>
        <v>0</v>
      </c>
    </row>
    <row r="46" spans="1:6" ht="12.75">
      <c r="A46" s="641">
        <v>7200010</v>
      </c>
      <c r="B46" s="637" t="s">
        <v>1106</v>
      </c>
      <c r="C46" s="637" t="s">
        <v>757</v>
      </c>
      <c r="D46" s="642">
        <v>2</v>
      </c>
      <c r="E46" s="642"/>
      <c r="F46" s="635">
        <f t="shared" si="1"/>
        <v>0</v>
      </c>
    </row>
    <row r="47" spans="1:6" ht="12.75">
      <c r="A47" s="641">
        <v>7200011</v>
      </c>
      <c r="B47" s="637" t="s">
        <v>1107</v>
      </c>
      <c r="C47" s="637" t="s">
        <v>757</v>
      </c>
      <c r="D47" s="642">
        <v>1</v>
      </c>
      <c r="E47" s="642"/>
      <c r="F47" s="635">
        <f>D47*E47</f>
        <v>0</v>
      </c>
    </row>
    <row r="48" spans="1:6" ht="12.75">
      <c r="A48" s="641">
        <v>7200012</v>
      </c>
      <c r="B48" s="637" t="s">
        <v>1108</v>
      </c>
      <c r="C48" s="637" t="s">
        <v>757</v>
      </c>
      <c r="D48" s="642">
        <v>1</v>
      </c>
      <c r="E48" s="642"/>
      <c r="F48" s="635">
        <f t="shared" si="1"/>
        <v>0</v>
      </c>
    </row>
    <row r="49" spans="1:6" ht="12.75">
      <c r="A49" s="641">
        <v>7200013</v>
      </c>
      <c r="B49" s="637" t="s">
        <v>1109</v>
      </c>
      <c r="C49" s="637" t="s">
        <v>757</v>
      </c>
      <c r="D49" s="642">
        <v>1</v>
      </c>
      <c r="E49" s="642"/>
      <c r="F49" s="635">
        <f>D49*E49</f>
        <v>0</v>
      </c>
    </row>
    <row r="50" spans="1:6" ht="12.75">
      <c r="A50" s="641">
        <v>7200014</v>
      </c>
      <c r="B50" s="637" t="s">
        <v>1110</v>
      </c>
      <c r="C50" s="637" t="s">
        <v>757</v>
      </c>
      <c r="D50" s="642">
        <v>10</v>
      </c>
      <c r="E50" s="642"/>
      <c r="F50" s="635">
        <f>D50*E50</f>
        <v>0</v>
      </c>
    </row>
    <row r="51" spans="1:6" ht="12.75">
      <c r="A51" s="641">
        <v>7200015</v>
      </c>
      <c r="B51" s="637" t="s">
        <v>1111</v>
      </c>
      <c r="C51" s="637" t="s">
        <v>757</v>
      </c>
      <c r="D51" s="642">
        <v>1</v>
      </c>
      <c r="E51" s="642"/>
      <c r="F51" s="635">
        <f t="shared" si="1"/>
        <v>0</v>
      </c>
    </row>
    <row r="52" spans="1:6" ht="12.75">
      <c r="A52" s="641">
        <v>7200016</v>
      </c>
      <c r="B52" s="637" t="s">
        <v>1112</v>
      </c>
      <c r="C52" s="637" t="s">
        <v>757</v>
      </c>
      <c r="D52" s="642">
        <v>1</v>
      </c>
      <c r="E52" s="642"/>
      <c r="F52" s="635">
        <f t="shared" si="1"/>
        <v>0</v>
      </c>
    </row>
    <row r="53" spans="1:6" ht="12.75">
      <c r="A53" s="641">
        <v>7200017</v>
      </c>
      <c r="B53" s="637" t="s">
        <v>1113</v>
      </c>
      <c r="C53" s="637" t="s">
        <v>757</v>
      </c>
      <c r="D53" s="642">
        <v>1</v>
      </c>
      <c r="E53" s="642"/>
      <c r="F53" s="635">
        <f t="shared" si="1"/>
        <v>0</v>
      </c>
    </row>
    <row r="54" spans="1:6" ht="12.75">
      <c r="A54" s="641">
        <v>7200018</v>
      </c>
      <c r="B54" s="637" t="s">
        <v>1114</v>
      </c>
      <c r="C54" s="637" t="s">
        <v>757</v>
      </c>
      <c r="D54" s="642">
        <v>5</v>
      </c>
      <c r="E54" s="642"/>
      <c r="F54" s="635">
        <f>D54*E54</f>
        <v>0</v>
      </c>
    </row>
    <row r="55" spans="1:6" ht="12.75">
      <c r="A55" s="641">
        <v>7200019</v>
      </c>
      <c r="B55" s="637" t="s">
        <v>1115</v>
      </c>
      <c r="C55" s="637" t="s">
        <v>757</v>
      </c>
      <c r="D55" s="642">
        <v>1</v>
      </c>
      <c r="E55" s="642"/>
      <c r="F55" s="635">
        <f>D55*E55</f>
        <v>0</v>
      </c>
    </row>
    <row r="56" spans="1:6" ht="12.75">
      <c r="A56" s="641">
        <v>7200020</v>
      </c>
      <c r="B56" s="637" t="s">
        <v>1116</v>
      </c>
      <c r="C56" s="637" t="s">
        <v>757</v>
      </c>
      <c r="D56" s="642">
        <v>3</v>
      </c>
      <c r="E56" s="642"/>
      <c r="F56" s="635">
        <f>D56*E56</f>
        <v>0</v>
      </c>
    </row>
    <row r="57" spans="1:6" ht="12.75">
      <c r="A57" s="641">
        <v>7200021</v>
      </c>
      <c r="B57" s="637" t="s">
        <v>1117</v>
      </c>
      <c r="C57" s="637" t="s">
        <v>757</v>
      </c>
      <c r="D57" s="642">
        <f>SUM(D54:D56)</f>
        <v>9</v>
      </c>
      <c r="E57" s="642"/>
      <c r="F57" s="635">
        <f t="shared" si="1"/>
        <v>0</v>
      </c>
    </row>
    <row r="58" spans="1:6" ht="12.75">
      <c r="A58" s="641">
        <v>7200022</v>
      </c>
      <c r="B58" s="637" t="s">
        <v>1118</v>
      </c>
      <c r="C58" s="637" t="s">
        <v>1096</v>
      </c>
      <c r="D58" s="642">
        <v>1</v>
      </c>
      <c r="E58" s="642"/>
      <c r="F58" s="635">
        <f t="shared" si="1"/>
        <v>0</v>
      </c>
    </row>
    <row r="59" spans="1:6" ht="12.75">
      <c r="A59" s="643">
        <v>7200023</v>
      </c>
      <c r="B59" s="637" t="s">
        <v>1092</v>
      </c>
      <c r="C59" s="616" t="s">
        <v>231</v>
      </c>
      <c r="D59" s="644">
        <f>SUM(D38:D40)</f>
        <v>40</v>
      </c>
      <c r="E59" s="644"/>
      <c r="F59" s="635">
        <f t="shared" si="1"/>
        <v>0</v>
      </c>
    </row>
    <row r="60" spans="1:6" ht="12.75">
      <c r="A60" s="643">
        <v>7200024</v>
      </c>
      <c r="B60" s="637" t="s">
        <v>1119</v>
      </c>
      <c r="C60" s="616" t="s">
        <v>231</v>
      </c>
      <c r="D60" s="644">
        <f>SUM(D59)</f>
        <v>40</v>
      </c>
      <c r="E60" s="644"/>
      <c r="F60" s="635">
        <f t="shared" si="1"/>
        <v>0</v>
      </c>
    </row>
    <row r="61" spans="1:6" ht="12.75">
      <c r="A61" s="643">
        <v>7220024</v>
      </c>
      <c r="B61" s="640" t="s">
        <v>1095</v>
      </c>
      <c r="C61" s="616" t="s">
        <v>1096</v>
      </c>
      <c r="D61" s="644">
        <v>1</v>
      </c>
      <c r="E61" s="644"/>
      <c r="F61" s="635">
        <f t="shared" si="1"/>
        <v>0</v>
      </c>
    </row>
    <row r="62" spans="1:6" ht="12.75">
      <c r="A62" s="643"/>
      <c r="B62" s="616"/>
      <c r="C62" s="616"/>
      <c r="D62" s="644"/>
      <c r="E62" s="644"/>
      <c r="F62" s="645"/>
    </row>
    <row r="63" spans="1:6" ht="12.75">
      <c r="A63" s="643"/>
      <c r="B63" s="616"/>
      <c r="C63" s="616"/>
      <c r="D63" s="644"/>
      <c r="E63" s="644"/>
      <c r="F63" s="645"/>
    </row>
    <row r="64" spans="1:6" ht="12.75">
      <c r="A64" s="643"/>
      <c r="B64" s="633" t="s">
        <v>1120</v>
      </c>
      <c r="C64" s="616"/>
      <c r="D64" s="644"/>
      <c r="E64" s="644"/>
      <c r="F64" s="645"/>
    </row>
    <row r="65" spans="1:6" ht="12.75">
      <c r="A65" s="643">
        <v>7250001</v>
      </c>
      <c r="B65" s="616" t="s">
        <v>1121</v>
      </c>
      <c r="C65" s="616" t="s">
        <v>757</v>
      </c>
      <c r="D65" s="644">
        <v>5</v>
      </c>
      <c r="E65" s="644"/>
      <c r="F65" s="645">
        <f aca="true" t="shared" si="2" ref="F65:F71">D65*E65</f>
        <v>0</v>
      </c>
    </row>
    <row r="66" spans="1:6" ht="12.75">
      <c r="A66" s="643">
        <v>7250002</v>
      </c>
      <c r="B66" s="616" t="s">
        <v>1122</v>
      </c>
      <c r="C66" s="616" t="s">
        <v>757</v>
      </c>
      <c r="D66" s="644">
        <v>1</v>
      </c>
      <c r="E66" s="644"/>
      <c r="F66" s="645">
        <f>D66*E66</f>
        <v>0</v>
      </c>
    </row>
    <row r="67" spans="1:6" ht="12.75">
      <c r="A67" s="643">
        <v>7250003</v>
      </c>
      <c r="B67" s="616" t="s">
        <v>1123</v>
      </c>
      <c r="C67" s="616" t="s">
        <v>757</v>
      </c>
      <c r="D67" s="644">
        <v>5</v>
      </c>
      <c r="E67" s="644"/>
      <c r="F67" s="645">
        <f t="shared" si="2"/>
        <v>0</v>
      </c>
    </row>
    <row r="68" spans="1:6" ht="12.75">
      <c r="A68" s="643">
        <v>7250004</v>
      </c>
      <c r="B68" s="616" t="s">
        <v>1124</v>
      </c>
      <c r="C68" s="616" t="s">
        <v>757</v>
      </c>
      <c r="D68" s="644">
        <v>1</v>
      </c>
      <c r="E68" s="644"/>
      <c r="F68" s="645">
        <f>D68*E68</f>
        <v>0</v>
      </c>
    </row>
    <row r="69" spans="1:6" ht="12.75">
      <c r="A69" s="643">
        <v>7250005</v>
      </c>
      <c r="B69" s="616" t="s">
        <v>1125</v>
      </c>
      <c r="C69" s="616" t="s">
        <v>757</v>
      </c>
      <c r="D69" s="644">
        <v>1</v>
      </c>
      <c r="E69" s="644"/>
      <c r="F69" s="645">
        <f t="shared" si="2"/>
        <v>0</v>
      </c>
    </row>
    <row r="70" spans="1:6" ht="12.75">
      <c r="A70" s="643">
        <v>7250006</v>
      </c>
      <c r="B70" s="616" t="s">
        <v>1126</v>
      </c>
      <c r="C70" s="616" t="s">
        <v>757</v>
      </c>
      <c r="D70" s="644">
        <v>3</v>
      </c>
      <c r="E70" s="644"/>
      <c r="F70" s="645">
        <f>D70*E70</f>
        <v>0</v>
      </c>
    </row>
    <row r="71" spans="1:6" ht="12.75">
      <c r="A71" s="643">
        <v>7250007</v>
      </c>
      <c r="B71" s="616" t="s">
        <v>1127</v>
      </c>
      <c r="C71" s="616" t="s">
        <v>757</v>
      </c>
      <c r="D71" s="644">
        <f>SUM(D65:D70)</f>
        <v>16</v>
      </c>
      <c r="E71" s="644"/>
      <c r="F71" s="645">
        <f t="shared" si="2"/>
        <v>0</v>
      </c>
    </row>
    <row r="72" spans="1:6" ht="12.75">
      <c r="A72" s="614"/>
      <c r="B72" s="616"/>
      <c r="C72" s="616"/>
      <c r="D72" s="644"/>
      <c r="E72" s="644"/>
      <c r="F72" s="645"/>
    </row>
    <row r="73" spans="1:6" ht="12.75">
      <c r="A73" s="614"/>
      <c r="B73" s="616"/>
      <c r="C73" s="616"/>
      <c r="D73" s="617"/>
      <c r="E73" s="617"/>
      <c r="F73" s="646">
        <f>SUM(F11:F71)</f>
        <v>0</v>
      </c>
    </row>
    <row r="74" spans="1:6" ht="12.75">
      <c r="A74" s="614"/>
      <c r="B74" s="616"/>
      <c r="C74" s="616"/>
      <c r="D74" s="617"/>
      <c r="E74" s="617"/>
      <c r="F74" s="645"/>
    </row>
  </sheetData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91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BE51"/>
  <sheetViews>
    <sheetView workbookViewId="0" topLeftCell="A1">
      <selection activeCell="K40" sqref="K40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189" t="s">
        <v>126</v>
      </c>
      <c r="B1" s="188"/>
      <c r="C1" s="188"/>
      <c r="D1" s="188"/>
      <c r="E1" s="188"/>
      <c r="F1" s="188"/>
      <c r="G1" s="188"/>
    </row>
    <row r="2" spans="1:7" ht="12.75" customHeight="1">
      <c r="A2" s="187" t="s">
        <v>125</v>
      </c>
      <c r="B2" s="186"/>
      <c r="C2" s="185" t="s">
        <v>80</v>
      </c>
      <c r="D2" s="185" t="s">
        <v>77</v>
      </c>
      <c r="E2" s="184"/>
      <c r="F2" s="183" t="s">
        <v>124</v>
      </c>
      <c r="G2" s="182"/>
    </row>
    <row r="3" spans="1:7" ht="3" customHeight="1" hidden="1">
      <c r="A3" s="133"/>
      <c r="B3" s="151"/>
      <c r="C3" s="174"/>
      <c r="D3" s="174"/>
      <c r="E3" s="173"/>
      <c r="F3" s="155"/>
      <c r="G3" s="176"/>
    </row>
    <row r="4" spans="1:7" ht="12" customHeight="1">
      <c r="A4" s="175" t="s">
        <v>123</v>
      </c>
      <c r="B4" s="151"/>
      <c r="C4" s="174"/>
      <c r="D4" s="174"/>
      <c r="E4" s="173"/>
      <c r="F4" s="155" t="s">
        <v>122</v>
      </c>
      <c r="G4" s="181"/>
    </row>
    <row r="5" spans="1:7" ht="12.9" customHeight="1">
      <c r="A5" s="180" t="s">
        <v>14</v>
      </c>
      <c r="B5" s="177"/>
      <c r="C5" s="179" t="s">
        <v>15</v>
      </c>
      <c r="D5" s="178"/>
      <c r="E5" s="177"/>
      <c r="F5" s="155" t="s">
        <v>121</v>
      </c>
      <c r="G5" s="176"/>
    </row>
    <row r="6" spans="1:15" ht="12.9" customHeight="1">
      <c r="A6" s="175" t="s">
        <v>120</v>
      </c>
      <c r="B6" s="151"/>
      <c r="C6" s="174"/>
      <c r="D6" s="174"/>
      <c r="E6" s="173"/>
      <c r="F6" s="172" t="s">
        <v>119</v>
      </c>
      <c r="G6" s="165">
        <v>0</v>
      </c>
      <c r="O6" s="171"/>
    </row>
    <row r="7" spans="1:7" ht="12.9" customHeight="1">
      <c r="A7" s="170" t="s">
        <v>12</v>
      </c>
      <c r="B7" s="169"/>
      <c r="C7" s="168" t="s">
        <v>13</v>
      </c>
      <c r="D7" s="167"/>
      <c r="E7" s="167"/>
      <c r="F7" s="166" t="s">
        <v>118</v>
      </c>
      <c r="G7" s="165">
        <f>IF(G6=0,,ROUND((F30+F32)/G6,1))</f>
        <v>0</v>
      </c>
    </row>
    <row r="8" spans="1:9" ht="12.75">
      <c r="A8" s="156" t="s">
        <v>117</v>
      </c>
      <c r="B8" s="155"/>
      <c r="C8" s="1570"/>
      <c r="D8" s="1570"/>
      <c r="E8" s="1571"/>
      <c r="F8" s="164" t="s">
        <v>116</v>
      </c>
      <c r="G8" s="163"/>
      <c r="H8" s="162"/>
      <c r="I8" s="161"/>
    </row>
    <row r="9" spans="1:8" ht="12.75">
      <c r="A9" s="156" t="s">
        <v>115</v>
      </c>
      <c r="B9" s="155"/>
      <c r="C9" s="1570"/>
      <c r="D9" s="1570"/>
      <c r="E9" s="1571"/>
      <c r="F9" s="155"/>
      <c r="G9" s="160"/>
      <c r="H9" s="74"/>
    </row>
    <row r="10" spans="1:8" ht="12.75">
      <c r="A10" s="156" t="s">
        <v>114</v>
      </c>
      <c r="B10" s="155"/>
      <c r="C10" s="1570"/>
      <c r="D10" s="1570"/>
      <c r="E10" s="1570"/>
      <c r="F10" s="159"/>
      <c r="G10" s="158"/>
      <c r="H10" s="157"/>
    </row>
    <row r="11" spans="1:57" ht="13.5" customHeight="1">
      <c r="A11" s="156" t="s">
        <v>113</v>
      </c>
      <c r="B11" s="155"/>
      <c r="C11" s="1570"/>
      <c r="D11" s="1570"/>
      <c r="E11" s="1570"/>
      <c r="F11" s="154" t="s">
        <v>112</v>
      </c>
      <c r="G11" s="153"/>
      <c r="H11" s="74"/>
      <c r="BA11" s="39"/>
      <c r="BB11" s="39"/>
      <c r="BC11" s="39"/>
      <c r="BD11" s="39"/>
      <c r="BE11" s="39"/>
    </row>
    <row r="12" spans="1:8" ht="12.75" customHeight="1">
      <c r="A12" s="152" t="s">
        <v>111</v>
      </c>
      <c r="B12" s="151"/>
      <c r="C12" s="1572"/>
      <c r="D12" s="1572"/>
      <c r="E12" s="1572"/>
      <c r="F12" s="150" t="s">
        <v>110</v>
      </c>
      <c r="G12" s="149"/>
      <c r="H12" s="74"/>
    </row>
    <row r="13" spans="1:8" ht="28.5" customHeight="1" thickBot="1">
      <c r="A13" s="148" t="s">
        <v>109</v>
      </c>
      <c r="B13" s="147"/>
      <c r="C13" s="147"/>
      <c r="D13" s="147"/>
      <c r="E13" s="146"/>
      <c r="F13" s="146"/>
      <c r="G13" s="145"/>
      <c r="H13" s="74"/>
    </row>
    <row r="14" spans="1:7" ht="17.25" customHeight="1" thickBot="1">
      <c r="A14" s="144" t="s">
        <v>108</v>
      </c>
      <c r="B14" s="143"/>
      <c r="C14" s="140"/>
      <c r="D14" s="142" t="s">
        <v>107</v>
      </c>
      <c r="E14" s="141"/>
      <c r="F14" s="141"/>
      <c r="G14" s="140"/>
    </row>
    <row r="15" spans="1:7" ht="15.9" customHeight="1">
      <c r="A15" s="136"/>
      <c r="B15" s="62" t="s">
        <v>106</v>
      </c>
      <c r="C15" s="127">
        <f>'r01R'!E19</f>
        <v>0</v>
      </c>
      <c r="D15" s="139" t="str">
        <f>'r01R'!A24</f>
        <v>Ztížené výrobní podmínky</v>
      </c>
      <c r="E15" s="138"/>
      <c r="F15" s="137"/>
      <c r="G15" s="127">
        <f>'r01R'!I24</f>
        <v>0</v>
      </c>
    </row>
    <row r="16" spans="1:7" ht="15.9" customHeight="1">
      <c r="A16" s="136" t="s">
        <v>105</v>
      </c>
      <c r="B16" s="62" t="s">
        <v>104</v>
      </c>
      <c r="C16" s="127">
        <f>'r01R'!F19</f>
        <v>0</v>
      </c>
      <c r="D16" s="133" t="str">
        <f>'r01R'!A25</f>
        <v>Oborová přirážka</v>
      </c>
      <c r="E16" s="132"/>
      <c r="F16" s="108"/>
      <c r="G16" s="127">
        <f>'r01R'!I25</f>
        <v>0</v>
      </c>
    </row>
    <row r="17" spans="1:7" ht="15.9" customHeight="1">
      <c r="A17" s="136" t="s">
        <v>103</v>
      </c>
      <c r="B17" s="62" t="s">
        <v>102</v>
      </c>
      <c r="C17" s="127">
        <f>'r01R'!H19</f>
        <v>0</v>
      </c>
      <c r="D17" s="133" t="str">
        <f>'r01R'!A26</f>
        <v>Přesun stavebních kapacit</v>
      </c>
      <c r="E17" s="132"/>
      <c r="F17" s="108"/>
      <c r="G17" s="127">
        <f>'r01R'!I26</f>
        <v>0</v>
      </c>
    </row>
    <row r="18" spans="1:7" ht="15.9" customHeight="1">
      <c r="A18" s="135" t="s">
        <v>101</v>
      </c>
      <c r="B18" s="134" t="s">
        <v>100</v>
      </c>
      <c r="C18" s="127">
        <f>'r01R'!G19</f>
        <v>0</v>
      </c>
      <c r="D18" s="133" t="str">
        <f>'r01R'!A27</f>
        <v>Mimostaveništní doprava</v>
      </c>
      <c r="E18" s="132"/>
      <c r="F18" s="108"/>
      <c r="G18" s="127">
        <f>'r01R'!I27</f>
        <v>0</v>
      </c>
    </row>
    <row r="19" spans="1:7" ht="15.9" customHeight="1">
      <c r="A19" s="63" t="s">
        <v>99</v>
      </c>
      <c r="B19" s="62"/>
      <c r="C19" s="127">
        <f>SUM(C15:C18)</f>
        <v>0</v>
      </c>
      <c r="D19" s="133" t="str">
        <f>'r01R'!A28</f>
        <v>Zařízení staveniště</v>
      </c>
      <c r="E19" s="132"/>
      <c r="F19" s="108"/>
      <c r="G19" s="127">
        <f>'r01R'!I28</f>
        <v>0</v>
      </c>
    </row>
    <row r="20" spans="1:7" ht="15.9" customHeight="1">
      <c r="A20" s="63"/>
      <c r="B20" s="62"/>
      <c r="C20" s="127"/>
      <c r="D20" s="133" t="str">
        <f>'r01R'!A29</f>
        <v>Provoz investora</v>
      </c>
      <c r="E20" s="132"/>
      <c r="F20" s="108"/>
      <c r="G20" s="127">
        <f>'r01R'!I29</f>
        <v>0</v>
      </c>
    </row>
    <row r="21" spans="1:7" ht="15.9" customHeight="1">
      <c r="A21" s="63" t="s">
        <v>70</v>
      </c>
      <c r="B21" s="62"/>
      <c r="C21" s="127">
        <f>'r01R'!I19</f>
        <v>0</v>
      </c>
      <c r="D21" s="133" t="str">
        <f>'r01R'!A30</f>
        <v>Kompletační činnost (IČD)</v>
      </c>
      <c r="E21" s="132"/>
      <c r="F21" s="108"/>
      <c r="G21" s="127">
        <f>'r01R'!I30</f>
        <v>0</v>
      </c>
    </row>
    <row r="22" spans="1:7" ht="15.9" customHeight="1">
      <c r="A22" s="118" t="s">
        <v>98</v>
      </c>
      <c r="B22" s="74"/>
      <c r="C22" s="127">
        <f>C19+C21</f>
        <v>0</v>
      </c>
      <c r="D22" s="133" t="s">
        <v>97</v>
      </c>
      <c r="E22" s="132"/>
      <c r="F22" s="108"/>
      <c r="G22" s="127">
        <f>G23-SUM(G15:G21)</f>
        <v>0</v>
      </c>
    </row>
    <row r="23" spans="1:7" ht="15.9" customHeight="1" thickBot="1">
      <c r="A23" s="1568" t="s">
        <v>96</v>
      </c>
      <c r="B23" s="1569"/>
      <c r="C23" s="131">
        <f>C22+G23</f>
        <v>0</v>
      </c>
      <c r="D23" s="130" t="s">
        <v>95</v>
      </c>
      <c r="E23" s="129"/>
      <c r="F23" s="128"/>
      <c r="G23" s="127">
        <f>'r01R'!H32</f>
        <v>0</v>
      </c>
    </row>
    <row r="24" spans="1:7" ht="12.75">
      <c r="A24" s="71" t="s">
        <v>94</v>
      </c>
      <c r="B24" s="70"/>
      <c r="C24" s="126"/>
      <c r="D24" s="70" t="s">
        <v>93</v>
      </c>
      <c r="E24" s="70"/>
      <c r="F24" s="125" t="s">
        <v>92</v>
      </c>
      <c r="G24" s="124"/>
    </row>
    <row r="25" spans="1:7" ht="12.75">
      <c r="A25" s="118" t="s">
        <v>91</v>
      </c>
      <c r="B25" s="74"/>
      <c r="C25" s="120"/>
      <c r="D25" s="74" t="s">
        <v>91</v>
      </c>
      <c r="F25" s="121" t="s">
        <v>91</v>
      </c>
      <c r="G25" s="115"/>
    </row>
    <row r="26" spans="1:7" ht="37.5" customHeight="1">
      <c r="A26" s="118" t="s">
        <v>90</v>
      </c>
      <c r="B26" s="123"/>
      <c r="C26" s="120"/>
      <c r="D26" s="74" t="s">
        <v>90</v>
      </c>
      <c r="F26" s="121" t="s">
        <v>90</v>
      </c>
      <c r="G26" s="115"/>
    </row>
    <row r="27" spans="1:7" ht="12.75">
      <c r="A27" s="118"/>
      <c r="B27" s="122"/>
      <c r="C27" s="120"/>
      <c r="D27" s="74"/>
      <c r="F27" s="121"/>
      <c r="G27" s="115"/>
    </row>
    <row r="28" spans="1:7" ht="12.75">
      <c r="A28" s="118" t="s">
        <v>89</v>
      </c>
      <c r="B28" s="74"/>
      <c r="C28" s="120"/>
      <c r="D28" s="121" t="s">
        <v>88</v>
      </c>
      <c r="E28" s="120"/>
      <c r="F28" s="119" t="s">
        <v>88</v>
      </c>
      <c r="G28" s="115"/>
    </row>
    <row r="29" spans="1:7" ht="69" customHeight="1">
      <c r="A29" s="118"/>
      <c r="B29" s="74"/>
      <c r="C29" s="116"/>
      <c r="D29" s="117"/>
      <c r="E29" s="116"/>
      <c r="F29" s="74"/>
      <c r="G29" s="115"/>
    </row>
    <row r="30" spans="1:7" ht="12.75">
      <c r="A30" s="112" t="s">
        <v>8</v>
      </c>
      <c r="B30" s="109"/>
      <c r="C30" s="114">
        <v>21</v>
      </c>
      <c r="D30" s="109" t="s">
        <v>87</v>
      </c>
      <c r="E30" s="113"/>
      <c r="F30" s="1574">
        <f>C23-F32</f>
        <v>0</v>
      </c>
      <c r="G30" s="1575"/>
    </row>
    <row r="31" spans="1:7" ht="12.75">
      <c r="A31" s="112" t="s">
        <v>86</v>
      </c>
      <c r="B31" s="109"/>
      <c r="C31" s="114">
        <f>C30</f>
        <v>21</v>
      </c>
      <c r="D31" s="109" t="s">
        <v>85</v>
      </c>
      <c r="E31" s="113"/>
      <c r="F31" s="1574">
        <f>ROUND(PRODUCT(F30,C31/100),0)</f>
        <v>0</v>
      </c>
      <c r="G31" s="1575"/>
    </row>
    <row r="32" spans="1:7" ht="12.75">
      <c r="A32" s="112" t="s">
        <v>8</v>
      </c>
      <c r="B32" s="109"/>
      <c r="C32" s="114">
        <v>0</v>
      </c>
      <c r="D32" s="109" t="s">
        <v>85</v>
      </c>
      <c r="E32" s="113"/>
      <c r="F32" s="1574">
        <v>0</v>
      </c>
      <c r="G32" s="1575"/>
    </row>
    <row r="33" spans="1:7" ht="12.75">
      <c r="A33" s="112" t="s">
        <v>86</v>
      </c>
      <c r="B33" s="111"/>
      <c r="C33" s="110">
        <f>C32</f>
        <v>0</v>
      </c>
      <c r="D33" s="109" t="s">
        <v>85</v>
      </c>
      <c r="E33" s="108"/>
      <c r="F33" s="1574">
        <f>ROUND(PRODUCT(F32,C33/100),0)</f>
        <v>0</v>
      </c>
      <c r="G33" s="1575"/>
    </row>
    <row r="34" spans="1:7" s="104" customFormat="1" ht="19.5" customHeight="1" thickBot="1">
      <c r="A34" s="107" t="s">
        <v>84</v>
      </c>
      <c r="B34" s="106"/>
      <c r="C34" s="106"/>
      <c r="D34" s="106"/>
      <c r="E34" s="105"/>
      <c r="F34" s="1576">
        <f>ROUND(SUM(F30:F33),0)</f>
        <v>0</v>
      </c>
      <c r="G34" s="1577"/>
    </row>
    <row r="36" spans="1:8" ht="12.75">
      <c r="A36" s="2" t="s">
        <v>83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578"/>
      <c r="C37" s="1578"/>
      <c r="D37" s="1578"/>
      <c r="E37" s="1578"/>
      <c r="F37" s="1578"/>
      <c r="G37" s="1578"/>
      <c r="H37" s="1" t="s">
        <v>1</v>
      </c>
    </row>
    <row r="38" spans="1:8" ht="12.75" customHeight="1">
      <c r="A38" s="103"/>
      <c r="B38" s="1578"/>
      <c r="C38" s="1578"/>
      <c r="D38" s="1578"/>
      <c r="E38" s="1578"/>
      <c r="F38" s="1578"/>
      <c r="G38" s="1578"/>
      <c r="H38" s="1" t="s">
        <v>1</v>
      </c>
    </row>
    <row r="39" spans="1:8" ht="12.75">
      <c r="A39" s="103"/>
      <c r="B39" s="1578"/>
      <c r="C39" s="1578"/>
      <c r="D39" s="1578"/>
      <c r="E39" s="1578"/>
      <c r="F39" s="1578"/>
      <c r="G39" s="1578"/>
      <c r="H39" s="1" t="s">
        <v>1</v>
      </c>
    </row>
    <row r="40" spans="1:8" ht="12.75">
      <c r="A40" s="103"/>
      <c r="B40" s="1578"/>
      <c r="C40" s="1578"/>
      <c r="D40" s="1578"/>
      <c r="E40" s="1578"/>
      <c r="F40" s="1578"/>
      <c r="G40" s="1578"/>
      <c r="H40" s="1" t="s">
        <v>1</v>
      </c>
    </row>
    <row r="41" spans="1:8" ht="12.75">
      <c r="A41" s="103"/>
      <c r="B41" s="1578"/>
      <c r="C41" s="1578"/>
      <c r="D41" s="1578"/>
      <c r="E41" s="1578"/>
      <c r="F41" s="1578"/>
      <c r="G41" s="1578"/>
      <c r="H41" s="1" t="s">
        <v>1</v>
      </c>
    </row>
    <row r="42" spans="1:8" ht="12.75">
      <c r="A42" s="103"/>
      <c r="B42" s="1578"/>
      <c r="C42" s="1578"/>
      <c r="D42" s="1578"/>
      <c r="E42" s="1578"/>
      <c r="F42" s="1578"/>
      <c r="G42" s="1578"/>
      <c r="H42" s="1" t="s">
        <v>1</v>
      </c>
    </row>
    <row r="43" spans="1:8" ht="12.75">
      <c r="A43" s="103"/>
      <c r="B43" s="1578"/>
      <c r="C43" s="1578"/>
      <c r="D43" s="1578"/>
      <c r="E43" s="1578"/>
      <c r="F43" s="1578"/>
      <c r="G43" s="1578"/>
      <c r="H43" s="1" t="s">
        <v>1</v>
      </c>
    </row>
    <row r="44" spans="1:8" ht="12.75" customHeight="1">
      <c r="A44" s="103"/>
      <c r="B44" s="1578"/>
      <c r="C44" s="1578"/>
      <c r="D44" s="1578"/>
      <c r="E44" s="1578"/>
      <c r="F44" s="1578"/>
      <c r="G44" s="1578"/>
      <c r="H44" s="1" t="s">
        <v>1</v>
      </c>
    </row>
    <row r="45" spans="1:8" ht="12.75" customHeight="1">
      <c r="A45" s="103"/>
      <c r="B45" s="1578"/>
      <c r="C45" s="1578"/>
      <c r="D45" s="1578"/>
      <c r="E45" s="1578"/>
      <c r="F45" s="1578"/>
      <c r="G45" s="1578"/>
      <c r="H45" s="1" t="s">
        <v>1</v>
      </c>
    </row>
    <row r="46" spans="2:7" ht="12.75">
      <c r="B46" s="1573"/>
      <c r="C46" s="1573"/>
      <c r="D46" s="1573"/>
      <c r="E46" s="1573"/>
      <c r="F46" s="1573"/>
      <c r="G46" s="1573"/>
    </row>
    <row r="47" spans="2:7" ht="12.75">
      <c r="B47" s="1573"/>
      <c r="C47" s="1573"/>
      <c r="D47" s="1573"/>
      <c r="E47" s="1573"/>
      <c r="F47" s="1573"/>
      <c r="G47" s="1573"/>
    </row>
    <row r="48" spans="2:7" ht="12.75">
      <c r="B48" s="1573"/>
      <c r="C48" s="1573"/>
      <c r="D48" s="1573"/>
      <c r="E48" s="1573"/>
      <c r="F48" s="1573"/>
      <c r="G48" s="1573"/>
    </row>
    <row r="49" spans="2:7" ht="12.75">
      <c r="B49" s="1573"/>
      <c r="C49" s="1573"/>
      <c r="D49" s="1573"/>
      <c r="E49" s="1573"/>
      <c r="F49" s="1573"/>
      <c r="G49" s="1573"/>
    </row>
    <row r="50" spans="2:7" ht="12.75">
      <c r="B50" s="1573"/>
      <c r="C50" s="1573"/>
      <c r="D50" s="1573"/>
      <c r="E50" s="1573"/>
      <c r="F50" s="1573"/>
      <c r="G50" s="1573"/>
    </row>
    <row r="51" spans="2:7" ht="12.75">
      <c r="B51" s="1573"/>
      <c r="C51" s="1573"/>
      <c r="D51" s="1573"/>
      <c r="E51" s="1573"/>
      <c r="F51" s="1573"/>
      <c r="G51" s="157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L63"/>
  <sheetViews>
    <sheetView workbookViewId="0" topLeftCell="A40">
      <selection activeCell="I70" sqref="I70"/>
    </sheetView>
  </sheetViews>
  <sheetFormatPr defaultColWidth="9.00390625" defaultRowHeight="12.75"/>
  <cols>
    <col min="1" max="1" width="4.00390625" style="0" customWidth="1"/>
    <col min="2" max="2" width="4.375" style="0" customWidth="1"/>
    <col min="3" max="3" width="13.50390625" style="0" customWidth="1"/>
    <col min="4" max="4" width="62.00390625" style="0" customWidth="1"/>
    <col min="10" max="10" width="10.125" style="0" bestFit="1" customWidth="1"/>
  </cols>
  <sheetData>
    <row r="2" spans="1:12" ht="17.4">
      <c r="A2" s="565" t="s">
        <v>481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1:12" ht="12.75">
      <c r="A3" s="564" t="s">
        <v>480</v>
      </c>
      <c r="B3" s="563"/>
      <c r="C3" s="563"/>
      <c r="D3" s="563"/>
      <c r="E3" s="563"/>
      <c r="F3" s="563"/>
      <c r="G3" s="561"/>
      <c r="H3" s="561"/>
      <c r="I3" s="561"/>
      <c r="J3" s="561"/>
      <c r="K3" s="561"/>
      <c r="L3" s="561"/>
    </row>
    <row r="4" spans="1:12" ht="12.75">
      <c r="A4" s="564" t="s">
        <v>479</v>
      </c>
      <c r="B4" s="563"/>
      <c r="C4" s="563"/>
      <c r="D4" s="563"/>
      <c r="E4" s="563"/>
      <c r="F4" s="563" t="s">
        <v>478</v>
      </c>
      <c r="G4" s="561"/>
      <c r="H4" s="561"/>
      <c r="I4" s="561"/>
      <c r="J4" s="561"/>
      <c r="K4" s="561"/>
      <c r="L4" s="561"/>
    </row>
    <row r="5" spans="1:12" ht="12.75">
      <c r="A5" s="564"/>
      <c r="B5" s="563"/>
      <c r="C5" s="564"/>
      <c r="D5" s="563"/>
      <c r="E5" s="563"/>
      <c r="F5" s="563" t="s">
        <v>477</v>
      </c>
      <c r="G5" s="561"/>
      <c r="H5" s="561"/>
      <c r="I5" s="561"/>
      <c r="J5" s="561"/>
      <c r="K5" s="561"/>
      <c r="L5" s="561"/>
    </row>
    <row r="6" spans="1:12" ht="12.75">
      <c r="A6" s="563" t="s">
        <v>476</v>
      </c>
      <c r="B6" s="563"/>
      <c r="C6" s="563"/>
      <c r="D6" s="563"/>
      <c r="E6" s="563"/>
      <c r="F6" s="563" t="s">
        <v>475</v>
      </c>
      <c r="G6" s="561"/>
      <c r="H6" s="561"/>
      <c r="I6" s="561"/>
      <c r="J6" s="561"/>
      <c r="K6" s="561"/>
      <c r="L6" s="561"/>
    </row>
    <row r="7" spans="1:12" ht="13.8" thickBot="1">
      <c r="A7" s="561"/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</row>
    <row r="8" spans="1:12" ht="21" thickBot="1">
      <c r="A8" s="562" t="s">
        <v>474</v>
      </c>
      <c r="B8" s="562" t="s">
        <v>473</v>
      </c>
      <c r="C8" s="562" t="s">
        <v>472</v>
      </c>
      <c r="D8" s="562" t="s">
        <v>471</v>
      </c>
      <c r="E8" s="562" t="s">
        <v>132</v>
      </c>
      <c r="F8" s="562" t="s">
        <v>470</v>
      </c>
      <c r="G8" s="562" t="s">
        <v>469</v>
      </c>
      <c r="H8" s="562" t="s">
        <v>468</v>
      </c>
      <c r="I8" s="562" t="s">
        <v>467</v>
      </c>
      <c r="J8" s="562" t="s">
        <v>466</v>
      </c>
      <c r="K8" s="562" t="s">
        <v>465</v>
      </c>
      <c r="L8" s="562" t="s">
        <v>464</v>
      </c>
    </row>
    <row r="9" spans="1:12" ht="13.8" thickBot="1">
      <c r="A9" s="562" t="s">
        <v>141</v>
      </c>
      <c r="B9" s="562" t="s">
        <v>183</v>
      </c>
      <c r="C9" s="562" t="s">
        <v>188</v>
      </c>
      <c r="D9" s="562" t="s">
        <v>463</v>
      </c>
      <c r="E9" s="562" t="s">
        <v>462</v>
      </c>
      <c r="F9" s="562" t="s">
        <v>461</v>
      </c>
      <c r="G9" s="562" t="s">
        <v>460</v>
      </c>
      <c r="H9" s="562" t="s">
        <v>459</v>
      </c>
      <c r="I9" s="562" t="s">
        <v>458</v>
      </c>
      <c r="J9" s="562" t="s">
        <v>26</v>
      </c>
      <c r="K9" s="562" t="s">
        <v>177</v>
      </c>
      <c r="L9" s="562" t="s">
        <v>27</v>
      </c>
    </row>
    <row r="10" spans="1:12" ht="12.75">
      <c r="A10" s="561"/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</row>
    <row r="11" spans="1:12" ht="12.75">
      <c r="A11" s="560"/>
      <c r="B11" s="559"/>
      <c r="C11" s="559" t="s">
        <v>457</v>
      </c>
      <c r="D11" s="559" t="s">
        <v>456</v>
      </c>
      <c r="E11" s="559"/>
      <c r="F11" s="556"/>
      <c r="G11" s="558"/>
      <c r="H11" s="558">
        <v>0</v>
      </c>
      <c r="I11" s="556">
        <f>SUM(I13:I61)</f>
        <v>0</v>
      </c>
      <c r="J11" s="556">
        <f>SUM(J13:J61)</f>
        <v>0</v>
      </c>
      <c r="K11" s="557"/>
      <c r="L11" s="556">
        <f>SUM(L13:L61)</f>
        <v>0.503119</v>
      </c>
    </row>
    <row r="12" spans="1:12" ht="13.8" thickBot="1">
      <c r="A12" s="560"/>
      <c r="B12" s="559"/>
      <c r="C12" s="559" t="s">
        <v>455</v>
      </c>
      <c r="D12" s="559" t="s">
        <v>454</v>
      </c>
      <c r="E12" s="559"/>
      <c r="F12" s="556"/>
      <c r="G12" s="558"/>
      <c r="H12" s="558">
        <v>0</v>
      </c>
      <c r="I12" s="556">
        <f>SUM(I13:I61)</f>
        <v>0</v>
      </c>
      <c r="J12" s="556">
        <f>SUM(J13:J61)</f>
        <v>0</v>
      </c>
      <c r="K12" s="557"/>
      <c r="L12" s="556">
        <f>SUM(L13:L61)</f>
        <v>0.503119</v>
      </c>
    </row>
    <row r="13" spans="1:12" ht="36.75" customHeight="1" thickBot="1">
      <c r="A13" s="519">
        <v>1</v>
      </c>
      <c r="B13" s="518" t="s">
        <v>359</v>
      </c>
      <c r="C13" s="518" t="s">
        <v>453</v>
      </c>
      <c r="D13" s="518" t="s">
        <v>452</v>
      </c>
      <c r="E13" s="518" t="s">
        <v>196</v>
      </c>
      <c r="F13" s="517">
        <v>13</v>
      </c>
      <c r="G13" s="516"/>
      <c r="H13" s="516"/>
      <c r="I13" s="516">
        <f>F13*G13</f>
        <v>0</v>
      </c>
      <c r="J13" s="516">
        <f>I13</f>
        <v>0</v>
      </c>
      <c r="K13" s="515">
        <v>0</v>
      </c>
      <c r="L13" s="514">
        <v>0</v>
      </c>
    </row>
    <row r="14" spans="1:12" ht="24" customHeight="1" thickBot="1">
      <c r="A14" s="513">
        <v>2</v>
      </c>
      <c r="B14" s="512" t="s">
        <v>426</v>
      </c>
      <c r="C14" s="512" t="s">
        <v>451</v>
      </c>
      <c r="D14" s="512" t="s">
        <v>450</v>
      </c>
      <c r="E14" s="512" t="s">
        <v>196</v>
      </c>
      <c r="F14" s="511">
        <v>13</v>
      </c>
      <c r="G14" s="510"/>
      <c r="H14" s="510"/>
      <c r="I14" s="510"/>
      <c r="J14" s="510">
        <f>F14*G14</f>
        <v>0</v>
      </c>
      <c r="K14" s="509">
        <v>3E-05</v>
      </c>
      <c r="L14" s="508">
        <v>0.00039</v>
      </c>
    </row>
    <row r="15" spans="1:12" ht="29.25" customHeight="1" thickBot="1">
      <c r="A15" s="519">
        <v>5</v>
      </c>
      <c r="B15" s="518" t="s">
        <v>359</v>
      </c>
      <c r="C15" s="518" t="s">
        <v>449</v>
      </c>
      <c r="D15" s="518" t="s">
        <v>448</v>
      </c>
      <c r="E15" s="518" t="s">
        <v>196</v>
      </c>
      <c r="F15" s="517">
        <v>12</v>
      </c>
      <c r="G15" s="516"/>
      <c r="H15" s="516"/>
      <c r="I15" s="516">
        <f>F15*G15</f>
        <v>0</v>
      </c>
      <c r="J15" s="516">
        <f>I15</f>
        <v>0</v>
      </c>
      <c r="K15" s="515">
        <v>0</v>
      </c>
      <c r="L15" s="514">
        <v>0</v>
      </c>
    </row>
    <row r="16" spans="1:12" ht="23.25" customHeight="1" thickBot="1">
      <c r="A16" s="513">
        <v>6</v>
      </c>
      <c r="B16" s="512" t="s">
        <v>426</v>
      </c>
      <c r="C16" s="512" t="s">
        <v>447</v>
      </c>
      <c r="D16" s="512" t="s">
        <v>446</v>
      </c>
      <c r="E16" s="512" t="s">
        <v>196</v>
      </c>
      <c r="F16" s="511">
        <v>12</v>
      </c>
      <c r="G16" s="510"/>
      <c r="H16" s="510"/>
      <c r="I16" s="510"/>
      <c r="J16" s="510">
        <f>F16*G16</f>
        <v>0</v>
      </c>
      <c r="K16" s="509">
        <v>9E-05</v>
      </c>
      <c r="L16" s="508">
        <v>0.00108</v>
      </c>
    </row>
    <row r="17" spans="1:12" ht="36" customHeight="1" thickBot="1">
      <c r="A17" s="531">
        <v>7</v>
      </c>
      <c r="B17" s="530" t="s">
        <v>359</v>
      </c>
      <c r="C17" s="530" t="s">
        <v>445</v>
      </c>
      <c r="D17" s="530" t="s">
        <v>444</v>
      </c>
      <c r="E17" s="530" t="s">
        <v>196</v>
      </c>
      <c r="F17" s="529">
        <v>10</v>
      </c>
      <c r="G17" s="528"/>
      <c r="H17" s="528"/>
      <c r="I17" s="516">
        <f>F17*G17</f>
        <v>0</v>
      </c>
      <c r="J17" s="516">
        <f>I17</f>
        <v>0</v>
      </c>
      <c r="K17" s="527">
        <v>0</v>
      </c>
      <c r="L17" s="526">
        <v>0</v>
      </c>
    </row>
    <row r="18" spans="1:12" ht="30" customHeight="1" thickBot="1">
      <c r="A18" s="555">
        <v>9</v>
      </c>
      <c r="B18" s="554" t="s">
        <v>359</v>
      </c>
      <c r="C18" s="554" t="s">
        <v>443</v>
      </c>
      <c r="D18" s="554" t="s">
        <v>442</v>
      </c>
      <c r="E18" s="554" t="s">
        <v>196</v>
      </c>
      <c r="F18" s="553">
        <v>2</v>
      </c>
      <c r="G18" s="552"/>
      <c r="H18" s="552"/>
      <c r="I18" s="516">
        <f>F18*G18</f>
        <v>0</v>
      </c>
      <c r="J18" s="516">
        <f>I18</f>
        <v>0</v>
      </c>
      <c r="K18" s="551">
        <v>0</v>
      </c>
      <c r="L18" s="550">
        <v>0</v>
      </c>
    </row>
    <row r="19" spans="1:12" ht="29.25" customHeight="1" thickBot="1">
      <c r="A19" s="525">
        <v>14</v>
      </c>
      <c r="B19" s="524" t="s">
        <v>359</v>
      </c>
      <c r="C19" s="524" t="s">
        <v>441</v>
      </c>
      <c r="D19" s="524" t="s">
        <v>440</v>
      </c>
      <c r="E19" s="524" t="s">
        <v>196</v>
      </c>
      <c r="F19" s="523">
        <v>6</v>
      </c>
      <c r="G19" s="522"/>
      <c r="H19" s="522"/>
      <c r="I19" s="516">
        <f>F19*G19</f>
        <v>0</v>
      </c>
      <c r="J19" s="516">
        <f>I19</f>
        <v>0</v>
      </c>
      <c r="K19" s="521">
        <v>0</v>
      </c>
      <c r="L19" s="520">
        <v>0</v>
      </c>
    </row>
    <row r="20" spans="1:12" ht="13.8" thickBot="1">
      <c r="A20" s="513">
        <v>15</v>
      </c>
      <c r="B20" s="512" t="s">
        <v>426</v>
      </c>
      <c r="C20" s="512" t="s">
        <v>439</v>
      </c>
      <c r="D20" s="512" t="s">
        <v>438</v>
      </c>
      <c r="E20" s="512" t="s">
        <v>196</v>
      </c>
      <c r="F20" s="511">
        <v>6</v>
      </c>
      <c r="G20" s="510"/>
      <c r="H20" s="510"/>
      <c r="I20" s="510"/>
      <c r="J20" s="510">
        <f>F20*G20</f>
        <v>0</v>
      </c>
      <c r="K20" s="509">
        <v>0.00024</v>
      </c>
      <c r="L20" s="508">
        <v>0.00144</v>
      </c>
    </row>
    <row r="21" spans="1:12" ht="24" customHeight="1" thickBot="1">
      <c r="A21" s="531">
        <v>55</v>
      </c>
      <c r="B21" s="530" t="s">
        <v>359</v>
      </c>
      <c r="C21" s="530" t="s">
        <v>437</v>
      </c>
      <c r="D21" s="530" t="s">
        <v>436</v>
      </c>
      <c r="E21" s="530" t="s">
        <v>196</v>
      </c>
      <c r="F21" s="529">
        <v>1</v>
      </c>
      <c r="G21" s="528"/>
      <c r="H21" s="528"/>
      <c r="I21" s="516">
        <f>F21*G21</f>
        <v>0</v>
      </c>
      <c r="J21" s="516">
        <f>I21</f>
        <v>0</v>
      </c>
      <c r="K21" s="527">
        <v>0</v>
      </c>
      <c r="L21" s="526">
        <v>0</v>
      </c>
    </row>
    <row r="22" spans="1:12" ht="19.5" customHeight="1" thickBot="1">
      <c r="A22" s="525">
        <v>56</v>
      </c>
      <c r="B22" s="524" t="s">
        <v>359</v>
      </c>
      <c r="C22" s="524" t="s">
        <v>437</v>
      </c>
      <c r="D22" s="524" t="s">
        <v>436</v>
      </c>
      <c r="E22" s="524" t="s">
        <v>196</v>
      </c>
      <c r="F22" s="523">
        <v>1</v>
      </c>
      <c r="G22" s="522"/>
      <c r="H22" s="522"/>
      <c r="I22" s="516">
        <f>F22*G22</f>
        <v>0</v>
      </c>
      <c r="J22" s="516">
        <f>I22</f>
        <v>0</v>
      </c>
      <c r="K22" s="521">
        <v>0</v>
      </c>
      <c r="L22" s="520">
        <v>0</v>
      </c>
    </row>
    <row r="23" spans="1:12" ht="21" customHeight="1" thickBot="1">
      <c r="A23" s="513">
        <v>57</v>
      </c>
      <c r="B23" s="512" t="s">
        <v>426</v>
      </c>
      <c r="C23" s="512" t="s">
        <v>435</v>
      </c>
      <c r="D23" s="512" t="s">
        <v>434</v>
      </c>
      <c r="E23" s="512" t="s">
        <v>196</v>
      </c>
      <c r="F23" s="511">
        <v>1</v>
      </c>
      <c r="G23" s="510"/>
      <c r="H23" s="510"/>
      <c r="I23" s="510"/>
      <c r="J23" s="510">
        <f>F23*G23</f>
        <v>0</v>
      </c>
      <c r="K23" s="509">
        <v>6E-05</v>
      </c>
      <c r="L23" s="508">
        <v>6E-05</v>
      </c>
    </row>
    <row r="24" spans="1:12" ht="21.75" customHeight="1" thickBot="1">
      <c r="A24" s="519">
        <v>35</v>
      </c>
      <c r="B24" s="518" t="s">
        <v>359</v>
      </c>
      <c r="C24" s="518" t="s">
        <v>433</v>
      </c>
      <c r="D24" s="518" t="s">
        <v>432</v>
      </c>
      <c r="E24" s="518" t="s">
        <v>196</v>
      </c>
      <c r="F24" s="517">
        <v>7</v>
      </c>
      <c r="G24" s="516"/>
      <c r="H24" s="516"/>
      <c r="I24" s="516">
        <f>F24*G24</f>
        <v>0</v>
      </c>
      <c r="J24" s="516">
        <f>I24</f>
        <v>0</v>
      </c>
      <c r="K24" s="515">
        <v>0</v>
      </c>
      <c r="L24" s="514">
        <v>0</v>
      </c>
    </row>
    <row r="25" spans="1:12" ht="23.25" customHeight="1" thickBot="1">
      <c r="A25" s="513">
        <v>36</v>
      </c>
      <c r="B25" s="512" t="s">
        <v>431</v>
      </c>
      <c r="C25" s="512" t="s">
        <v>430</v>
      </c>
      <c r="D25" s="512" t="s">
        <v>429</v>
      </c>
      <c r="E25" s="512" t="s">
        <v>196</v>
      </c>
      <c r="F25" s="511">
        <v>7</v>
      </c>
      <c r="G25" s="510"/>
      <c r="H25" s="510"/>
      <c r="I25" s="510"/>
      <c r="J25" s="510">
        <f>F25*G25</f>
        <v>0</v>
      </c>
      <c r="K25" s="509">
        <v>7E-05</v>
      </c>
      <c r="L25" s="508">
        <v>0.00049</v>
      </c>
    </row>
    <row r="26" spans="1:12" ht="28.5" customHeight="1" thickBot="1">
      <c r="A26" s="519">
        <v>16</v>
      </c>
      <c r="B26" s="518" t="s">
        <v>359</v>
      </c>
      <c r="C26" s="518" t="s">
        <v>428</v>
      </c>
      <c r="D26" s="518" t="s">
        <v>427</v>
      </c>
      <c r="E26" s="518" t="s">
        <v>196</v>
      </c>
      <c r="F26" s="517">
        <v>5</v>
      </c>
      <c r="G26" s="516"/>
      <c r="H26" s="516"/>
      <c r="I26" s="516">
        <f>F26*G26</f>
        <v>0</v>
      </c>
      <c r="J26" s="516">
        <f>I26</f>
        <v>0</v>
      </c>
      <c r="K26" s="515">
        <v>0</v>
      </c>
      <c r="L26" s="514">
        <v>0</v>
      </c>
    </row>
    <row r="27" spans="1:12" ht="22.5" customHeight="1" thickBot="1">
      <c r="A27" s="513">
        <v>17</v>
      </c>
      <c r="B27" s="512" t="s">
        <v>426</v>
      </c>
      <c r="C27" s="512" t="s">
        <v>425</v>
      </c>
      <c r="D27" s="512" t="s">
        <v>424</v>
      </c>
      <c r="E27" s="512" t="s">
        <v>196</v>
      </c>
      <c r="F27" s="511">
        <v>5</v>
      </c>
      <c r="G27" s="510"/>
      <c r="H27" s="510"/>
      <c r="I27" s="510"/>
      <c r="J27" s="510">
        <f>F27*G27</f>
        <v>0</v>
      </c>
      <c r="K27" s="509">
        <v>6E-05</v>
      </c>
      <c r="L27" s="508">
        <v>0.0003</v>
      </c>
    </row>
    <row r="28" spans="1:12" ht="23.25" customHeight="1" thickBot="1">
      <c r="A28" s="519">
        <v>18</v>
      </c>
      <c r="B28" s="518" t="s">
        <v>359</v>
      </c>
      <c r="C28" s="518" t="s">
        <v>423</v>
      </c>
      <c r="D28" s="518" t="s">
        <v>422</v>
      </c>
      <c r="E28" s="518" t="s">
        <v>196</v>
      </c>
      <c r="F28" s="517">
        <v>1</v>
      </c>
      <c r="G28" s="516"/>
      <c r="H28" s="516"/>
      <c r="I28" s="516">
        <f>F28*G28</f>
        <v>0</v>
      </c>
      <c r="J28" s="516">
        <f>I28</f>
        <v>0</v>
      </c>
      <c r="K28" s="515">
        <v>0</v>
      </c>
      <c r="L28" s="514">
        <v>0</v>
      </c>
    </row>
    <row r="29" spans="1:12" ht="24.75" customHeight="1" thickBot="1">
      <c r="A29" s="513">
        <v>19</v>
      </c>
      <c r="B29" s="512" t="s">
        <v>421</v>
      </c>
      <c r="C29" s="512" t="s">
        <v>420</v>
      </c>
      <c r="D29" s="512" t="s">
        <v>419</v>
      </c>
      <c r="E29" s="512" t="s">
        <v>196</v>
      </c>
      <c r="F29" s="511">
        <v>1</v>
      </c>
      <c r="G29" s="510"/>
      <c r="H29" s="510"/>
      <c r="I29" s="510"/>
      <c r="J29" s="510">
        <f>F29*G29</f>
        <v>0</v>
      </c>
      <c r="K29" s="509">
        <v>0.0327</v>
      </c>
      <c r="L29" s="508">
        <v>0.0327</v>
      </c>
    </row>
    <row r="30" spans="1:12" ht="19.5" customHeight="1" thickBot="1">
      <c r="A30" s="519">
        <v>31</v>
      </c>
      <c r="B30" s="518" t="s">
        <v>359</v>
      </c>
      <c r="C30" s="518" t="s">
        <v>418</v>
      </c>
      <c r="D30" s="518" t="s">
        <v>417</v>
      </c>
      <c r="E30" s="518" t="s">
        <v>196</v>
      </c>
      <c r="F30" s="517">
        <v>7</v>
      </c>
      <c r="G30" s="516"/>
      <c r="H30" s="516"/>
      <c r="I30" s="516">
        <f>F30*G30</f>
        <v>0</v>
      </c>
      <c r="J30" s="516">
        <f>I30</f>
        <v>0</v>
      </c>
      <c r="K30" s="515">
        <v>0</v>
      </c>
      <c r="L30" s="514">
        <v>0</v>
      </c>
    </row>
    <row r="31" spans="1:12" ht="23.25" customHeight="1" thickBot="1">
      <c r="A31" s="543">
        <v>32</v>
      </c>
      <c r="B31" s="542" t="s">
        <v>412</v>
      </c>
      <c r="C31" s="542" t="s">
        <v>416</v>
      </c>
      <c r="D31" s="542" t="s">
        <v>415</v>
      </c>
      <c r="E31" s="542" t="s">
        <v>196</v>
      </c>
      <c r="F31" s="541">
        <v>3</v>
      </c>
      <c r="G31" s="540"/>
      <c r="H31" s="540"/>
      <c r="I31" s="540"/>
      <c r="J31" s="510">
        <f>F31*G31</f>
        <v>0</v>
      </c>
      <c r="K31" s="539">
        <v>0.036</v>
      </c>
      <c r="L31" s="538">
        <v>0.108</v>
      </c>
    </row>
    <row r="32" spans="1:12" ht="23.25" customHeight="1" thickBot="1">
      <c r="A32" s="549">
        <v>33</v>
      </c>
      <c r="B32" s="548" t="s">
        <v>412</v>
      </c>
      <c r="C32" s="548" t="s">
        <v>414</v>
      </c>
      <c r="D32" s="548" t="s">
        <v>413</v>
      </c>
      <c r="E32" s="548" t="s">
        <v>196</v>
      </c>
      <c r="F32" s="547">
        <v>3</v>
      </c>
      <c r="G32" s="546"/>
      <c r="H32" s="546"/>
      <c r="I32" s="546"/>
      <c r="J32" s="510">
        <f>F32*G32</f>
        <v>0</v>
      </c>
      <c r="K32" s="545">
        <v>0.036</v>
      </c>
      <c r="L32" s="544">
        <v>0.108</v>
      </c>
    </row>
    <row r="33" spans="1:12" ht="18.75" customHeight="1" thickBot="1">
      <c r="A33" s="537">
        <v>34</v>
      </c>
      <c r="B33" s="536" t="s">
        <v>412</v>
      </c>
      <c r="C33" s="536" t="s">
        <v>411</v>
      </c>
      <c r="D33" s="536" t="s">
        <v>410</v>
      </c>
      <c r="E33" s="536" t="s">
        <v>196</v>
      </c>
      <c r="F33" s="535">
        <v>1</v>
      </c>
      <c r="G33" s="534"/>
      <c r="H33" s="534"/>
      <c r="I33" s="534"/>
      <c r="J33" s="510">
        <f>F33*G33</f>
        <v>0</v>
      </c>
      <c r="K33" s="533">
        <v>0.036</v>
      </c>
      <c r="L33" s="532">
        <v>0.036</v>
      </c>
    </row>
    <row r="34" spans="1:12" ht="25.5" customHeight="1" thickBot="1">
      <c r="A34" s="519">
        <v>20</v>
      </c>
      <c r="B34" s="518" t="s">
        <v>359</v>
      </c>
      <c r="C34" s="518" t="s">
        <v>409</v>
      </c>
      <c r="D34" s="518" t="s">
        <v>408</v>
      </c>
      <c r="E34" s="518" t="s">
        <v>196</v>
      </c>
      <c r="F34" s="517">
        <v>1</v>
      </c>
      <c r="G34" s="516"/>
      <c r="H34" s="516"/>
      <c r="I34" s="516">
        <f>F34*G34</f>
        <v>0</v>
      </c>
      <c r="J34" s="516">
        <f>I34</f>
        <v>0</v>
      </c>
      <c r="K34" s="515">
        <v>0</v>
      </c>
      <c r="L34" s="514">
        <v>0</v>
      </c>
    </row>
    <row r="35" spans="1:12" ht="18.75" customHeight="1" thickBot="1">
      <c r="A35" s="513">
        <v>21</v>
      </c>
      <c r="B35" s="512" t="s">
        <v>407</v>
      </c>
      <c r="C35" s="512" t="s">
        <v>406</v>
      </c>
      <c r="D35" s="512" t="s">
        <v>405</v>
      </c>
      <c r="E35" s="512" t="s">
        <v>196</v>
      </c>
      <c r="F35" s="511">
        <v>1</v>
      </c>
      <c r="G35" s="510"/>
      <c r="H35" s="510"/>
      <c r="I35" s="510"/>
      <c r="J35" s="510">
        <f>F35*G35</f>
        <v>0</v>
      </c>
      <c r="K35" s="509">
        <v>0.012</v>
      </c>
      <c r="L35" s="508">
        <v>0.012</v>
      </c>
    </row>
    <row r="36" spans="1:12" ht="20.25" customHeight="1" thickBot="1">
      <c r="A36" s="519">
        <v>22</v>
      </c>
      <c r="B36" s="518" t="s">
        <v>359</v>
      </c>
      <c r="C36" s="518" t="s">
        <v>404</v>
      </c>
      <c r="D36" s="518" t="s">
        <v>403</v>
      </c>
      <c r="E36" s="518" t="s">
        <v>196</v>
      </c>
      <c r="F36" s="517">
        <v>12</v>
      </c>
      <c r="G36" s="516"/>
      <c r="H36" s="516"/>
      <c r="I36" s="516">
        <f>F36*G36</f>
        <v>0</v>
      </c>
      <c r="J36" s="516">
        <f>I36</f>
        <v>0</v>
      </c>
      <c r="K36" s="515">
        <v>0</v>
      </c>
      <c r="L36" s="514">
        <v>0</v>
      </c>
    </row>
    <row r="37" spans="1:12" ht="18" customHeight="1" thickBot="1">
      <c r="A37" s="513">
        <v>24</v>
      </c>
      <c r="B37" s="512" t="s">
        <v>398</v>
      </c>
      <c r="C37" s="512" t="s">
        <v>402</v>
      </c>
      <c r="D37" s="512" t="s">
        <v>401</v>
      </c>
      <c r="E37" s="512" t="s">
        <v>196</v>
      </c>
      <c r="F37" s="511">
        <v>12</v>
      </c>
      <c r="G37" s="510"/>
      <c r="H37" s="510"/>
      <c r="I37" s="510"/>
      <c r="J37" s="510">
        <f>F37*G37</f>
        <v>0</v>
      </c>
      <c r="K37" s="509">
        <v>0.0025</v>
      </c>
      <c r="L37" s="508">
        <v>0.03</v>
      </c>
    </row>
    <row r="38" spans="1:12" ht="25.5" customHeight="1" thickBot="1">
      <c r="A38" s="519">
        <v>26</v>
      </c>
      <c r="B38" s="518" t="s">
        <v>359</v>
      </c>
      <c r="C38" s="518" t="s">
        <v>400</v>
      </c>
      <c r="D38" s="518" t="s">
        <v>399</v>
      </c>
      <c r="E38" s="518" t="s">
        <v>196</v>
      </c>
      <c r="F38" s="517">
        <v>2</v>
      </c>
      <c r="G38" s="516"/>
      <c r="H38" s="516"/>
      <c r="I38" s="516">
        <f>F38*G38</f>
        <v>0</v>
      </c>
      <c r="J38" s="516">
        <f>I38</f>
        <v>0</v>
      </c>
      <c r="K38" s="515">
        <v>0</v>
      </c>
      <c r="L38" s="514">
        <v>0</v>
      </c>
    </row>
    <row r="39" spans="1:12" ht="18.75" customHeight="1" thickBot="1">
      <c r="A39" s="513">
        <v>27</v>
      </c>
      <c r="B39" s="512" t="s">
        <v>398</v>
      </c>
      <c r="C39" s="512" t="s">
        <v>397</v>
      </c>
      <c r="D39" s="512" t="s">
        <v>396</v>
      </c>
      <c r="E39" s="512" t="s">
        <v>196</v>
      </c>
      <c r="F39" s="511">
        <v>2</v>
      </c>
      <c r="G39" s="510"/>
      <c r="H39" s="510"/>
      <c r="I39" s="510"/>
      <c r="J39" s="510">
        <f>F39*G39</f>
        <v>0</v>
      </c>
      <c r="K39" s="509">
        <v>0.0063</v>
      </c>
      <c r="L39" s="508">
        <v>0.0126</v>
      </c>
    </row>
    <row r="40" spans="1:12" ht="25.5" customHeight="1" thickBot="1">
      <c r="A40" s="519">
        <v>43</v>
      </c>
      <c r="B40" s="518" t="s">
        <v>359</v>
      </c>
      <c r="C40" s="518" t="s">
        <v>395</v>
      </c>
      <c r="D40" s="518" t="s">
        <v>394</v>
      </c>
      <c r="E40" s="518" t="s">
        <v>231</v>
      </c>
      <c r="F40" s="517">
        <v>45</v>
      </c>
      <c r="G40" s="516"/>
      <c r="H40" s="516"/>
      <c r="I40" s="516">
        <f>F40*G40</f>
        <v>0</v>
      </c>
      <c r="J40" s="516">
        <f>I40</f>
        <v>0</v>
      </c>
      <c r="K40" s="515">
        <v>0</v>
      </c>
      <c r="L40" s="514">
        <v>0</v>
      </c>
    </row>
    <row r="41" spans="1:12" ht="23.25" customHeight="1" thickBot="1">
      <c r="A41" s="513">
        <v>44</v>
      </c>
      <c r="B41" s="512" t="s">
        <v>374</v>
      </c>
      <c r="C41" s="512" t="s">
        <v>393</v>
      </c>
      <c r="D41" s="512" t="s">
        <v>392</v>
      </c>
      <c r="E41" s="512" t="s">
        <v>259</v>
      </c>
      <c r="F41" s="511">
        <v>45</v>
      </c>
      <c r="G41" s="510"/>
      <c r="H41" s="510"/>
      <c r="I41" s="510"/>
      <c r="J41" s="510">
        <f>F41*G41</f>
        <v>0</v>
      </c>
      <c r="K41" s="509">
        <v>0.001</v>
      </c>
      <c r="L41" s="508">
        <v>0.045</v>
      </c>
    </row>
    <row r="42" spans="1:12" ht="31.5" customHeight="1" thickBot="1">
      <c r="A42" s="519">
        <v>45</v>
      </c>
      <c r="B42" s="518" t="s">
        <v>359</v>
      </c>
      <c r="C42" s="518" t="s">
        <v>391</v>
      </c>
      <c r="D42" s="518" t="s">
        <v>390</v>
      </c>
      <c r="E42" s="518" t="s">
        <v>231</v>
      </c>
      <c r="F42" s="517">
        <v>9</v>
      </c>
      <c r="G42" s="516"/>
      <c r="H42" s="516"/>
      <c r="I42" s="516">
        <f>F42*G42</f>
        <v>0</v>
      </c>
      <c r="J42" s="516">
        <f>I42</f>
        <v>0</v>
      </c>
      <c r="K42" s="515">
        <v>0</v>
      </c>
      <c r="L42" s="514">
        <v>0</v>
      </c>
    </row>
    <row r="43" spans="1:12" ht="18.75" customHeight="1" thickBot="1">
      <c r="A43" s="513">
        <v>46</v>
      </c>
      <c r="B43" s="512" t="s">
        <v>374</v>
      </c>
      <c r="C43" s="512" t="s">
        <v>389</v>
      </c>
      <c r="D43" s="512" t="s">
        <v>388</v>
      </c>
      <c r="E43" s="512" t="s">
        <v>259</v>
      </c>
      <c r="F43" s="511">
        <v>7.2</v>
      </c>
      <c r="G43" s="510"/>
      <c r="H43" s="510"/>
      <c r="I43" s="510"/>
      <c r="J43" s="510">
        <f>F43*G43</f>
        <v>0</v>
      </c>
      <c r="K43" s="509">
        <v>0.001</v>
      </c>
      <c r="L43" s="508">
        <v>0.0072</v>
      </c>
    </row>
    <row r="44" spans="1:12" ht="13.8" thickBot="1">
      <c r="A44" s="507"/>
      <c r="B44" s="506"/>
      <c r="C44" s="506"/>
      <c r="D44" s="506" t="s">
        <v>387</v>
      </c>
      <c r="E44" s="506"/>
      <c r="F44" s="505">
        <v>7.2</v>
      </c>
      <c r="G44" s="504"/>
      <c r="H44" s="504"/>
      <c r="I44" s="504"/>
      <c r="J44" s="504"/>
      <c r="K44" s="503"/>
      <c r="L44" s="502"/>
    </row>
    <row r="45" spans="1:12" ht="27.75" customHeight="1" thickBot="1">
      <c r="A45" s="519">
        <v>47</v>
      </c>
      <c r="B45" s="518" t="s">
        <v>359</v>
      </c>
      <c r="C45" s="518" t="s">
        <v>386</v>
      </c>
      <c r="D45" s="518" t="s">
        <v>385</v>
      </c>
      <c r="E45" s="518" t="s">
        <v>231</v>
      </c>
      <c r="F45" s="517">
        <v>60</v>
      </c>
      <c r="G45" s="516"/>
      <c r="H45" s="516"/>
      <c r="I45" s="516">
        <f>F45*G45</f>
        <v>0</v>
      </c>
      <c r="J45" s="516">
        <f>I45</f>
        <v>0</v>
      </c>
      <c r="K45" s="515">
        <v>0</v>
      </c>
      <c r="L45" s="514">
        <v>0</v>
      </c>
    </row>
    <row r="46" spans="1:12" ht="18.75" customHeight="1" thickBot="1">
      <c r="A46" s="513">
        <v>48</v>
      </c>
      <c r="B46" s="512" t="s">
        <v>374</v>
      </c>
      <c r="C46" s="512" t="s">
        <v>384</v>
      </c>
      <c r="D46" s="512" t="s">
        <v>383</v>
      </c>
      <c r="E46" s="512" t="s">
        <v>259</v>
      </c>
      <c r="F46" s="511">
        <v>63</v>
      </c>
      <c r="G46" s="510"/>
      <c r="H46" s="510"/>
      <c r="I46" s="510"/>
      <c r="J46" s="510">
        <f>F46*G46</f>
        <v>0</v>
      </c>
      <c r="K46" s="509">
        <v>0.001</v>
      </c>
      <c r="L46" s="508">
        <v>0.063</v>
      </c>
    </row>
    <row r="47" spans="1:12" ht="24.75" customHeight="1" thickBot="1">
      <c r="A47" s="519">
        <v>49</v>
      </c>
      <c r="B47" s="518" t="s">
        <v>359</v>
      </c>
      <c r="C47" s="518" t="s">
        <v>382</v>
      </c>
      <c r="D47" s="518" t="s">
        <v>381</v>
      </c>
      <c r="E47" s="518" t="s">
        <v>196</v>
      </c>
      <c r="F47" s="517">
        <v>15</v>
      </c>
      <c r="G47" s="516"/>
      <c r="H47" s="516"/>
      <c r="I47" s="516">
        <f>F47*G47</f>
        <v>0</v>
      </c>
      <c r="J47" s="516">
        <f>I47</f>
        <v>0</v>
      </c>
      <c r="K47" s="515">
        <v>0</v>
      </c>
      <c r="L47" s="514">
        <v>0</v>
      </c>
    </row>
    <row r="48" spans="1:12" ht="24" customHeight="1" thickBot="1">
      <c r="A48" s="543">
        <v>50</v>
      </c>
      <c r="B48" s="542" t="s">
        <v>374</v>
      </c>
      <c r="C48" s="542" t="s">
        <v>380</v>
      </c>
      <c r="D48" s="542" t="s">
        <v>379</v>
      </c>
      <c r="E48" s="542" t="s">
        <v>196</v>
      </c>
      <c r="F48" s="541">
        <v>9</v>
      </c>
      <c r="G48" s="540"/>
      <c r="H48" s="540"/>
      <c r="I48" s="540"/>
      <c r="J48" s="510">
        <f>F48*G48</f>
        <v>0</v>
      </c>
      <c r="K48" s="539">
        <v>0.00023</v>
      </c>
      <c r="L48" s="538">
        <v>0.00207</v>
      </c>
    </row>
    <row r="49" spans="1:12" ht="29.25" customHeight="1" thickBot="1">
      <c r="A49" s="537">
        <v>51</v>
      </c>
      <c r="B49" s="536" t="s">
        <v>374</v>
      </c>
      <c r="C49" s="536" t="s">
        <v>378</v>
      </c>
      <c r="D49" s="536" t="s">
        <v>377</v>
      </c>
      <c r="E49" s="536" t="s">
        <v>196</v>
      </c>
      <c r="F49" s="535">
        <v>6</v>
      </c>
      <c r="G49" s="534"/>
      <c r="H49" s="534"/>
      <c r="I49" s="534"/>
      <c r="J49" s="510">
        <f>F49*G49</f>
        <v>0</v>
      </c>
      <c r="K49" s="533">
        <v>0.0007</v>
      </c>
      <c r="L49" s="532">
        <v>0.0042</v>
      </c>
    </row>
    <row r="50" spans="1:12" ht="28.5" customHeight="1" thickBot="1">
      <c r="A50" s="519">
        <v>52</v>
      </c>
      <c r="B50" s="518" t="s">
        <v>359</v>
      </c>
      <c r="C50" s="518" t="s">
        <v>376</v>
      </c>
      <c r="D50" s="518" t="s">
        <v>375</v>
      </c>
      <c r="E50" s="518" t="s">
        <v>196</v>
      </c>
      <c r="F50" s="517">
        <v>3</v>
      </c>
      <c r="G50" s="516"/>
      <c r="H50" s="516"/>
      <c r="I50" s="516">
        <f>F50*G50</f>
        <v>0</v>
      </c>
      <c r="J50" s="516">
        <f>I50</f>
        <v>0</v>
      </c>
      <c r="K50" s="515">
        <v>0</v>
      </c>
      <c r="L50" s="514">
        <v>0</v>
      </c>
    </row>
    <row r="51" spans="1:12" ht="15.75" customHeight="1" thickBot="1">
      <c r="A51" s="513">
        <v>53</v>
      </c>
      <c r="B51" s="512" t="s">
        <v>374</v>
      </c>
      <c r="C51" s="512" t="s">
        <v>373</v>
      </c>
      <c r="D51" s="512" t="s">
        <v>372</v>
      </c>
      <c r="E51" s="512" t="s">
        <v>196</v>
      </c>
      <c r="F51" s="511">
        <v>3</v>
      </c>
      <c r="G51" s="510"/>
      <c r="H51" s="510"/>
      <c r="I51" s="510"/>
      <c r="J51" s="510">
        <f>F51*G51</f>
        <v>0</v>
      </c>
      <c r="K51" s="509">
        <v>0.0002</v>
      </c>
      <c r="L51" s="508">
        <v>0.0006</v>
      </c>
    </row>
    <row r="52" spans="1:12" ht="33" customHeight="1" thickBot="1">
      <c r="A52" s="531">
        <v>54</v>
      </c>
      <c r="B52" s="530" t="s">
        <v>359</v>
      </c>
      <c r="C52" s="530" t="s">
        <v>371</v>
      </c>
      <c r="D52" s="530" t="s">
        <v>370</v>
      </c>
      <c r="E52" s="530" t="s">
        <v>196</v>
      </c>
      <c r="F52" s="529">
        <v>1</v>
      </c>
      <c r="G52" s="528"/>
      <c r="H52" s="528"/>
      <c r="I52" s="516">
        <f>F52*G52</f>
        <v>0</v>
      </c>
      <c r="J52" s="516">
        <f>I52</f>
        <v>0</v>
      </c>
      <c r="K52" s="527">
        <v>0</v>
      </c>
      <c r="L52" s="526">
        <v>0</v>
      </c>
    </row>
    <row r="53" spans="1:12" ht="31.5" customHeight="1" thickBot="1">
      <c r="A53" s="525">
        <v>37</v>
      </c>
      <c r="B53" s="524" t="s">
        <v>359</v>
      </c>
      <c r="C53" s="524" t="s">
        <v>369</v>
      </c>
      <c r="D53" s="524" t="s">
        <v>368</v>
      </c>
      <c r="E53" s="524" t="s">
        <v>231</v>
      </c>
      <c r="F53" s="523">
        <v>6</v>
      </c>
      <c r="G53" s="522"/>
      <c r="H53" s="522"/>
      <c r="I53" s="516">
        <f>F53*G53</f>
        <v>0</v>
      </c>
      <c r="J53" s="516">
        <f>I53</f>
        <v>0</v>
      </c>
      <c r="K53" s="521">
        <v>0</v>
      </c>
      <c r="L53" s="520">
        <v>0</v>
      </c>
    </row>
    <row r="54" spans="1:12" ht="19.5" customHeight="1" thickBot="1">
      <c r="A54" s="513">
        <v>38</v>
      </c>
      <c r="B54" s="512" t="s">
        <v>356</v>
      </c>
      <c r="C54" s="512" t="s">
        <v>367</v>
      </c>
      <c r="D54" s="512" t="s">
        <v>366</v>
      </c>
      <c r="E54" s="512" t="s">
        <v>231</v>
      </c>
      <c r="F54" s="511">
        <v>6.3</v>
      </c>
      <c r="G54" s="510"/>
      <c r="H54" s="510"/>
      <c r="I54" s="510"/>
      <c r="J54" s="510">
        <f>F54*G54</f>
        <v>0</v>
      </c>
      <c r="K54" s="509">
        <v>0.00063</v>
      </c>
      <c r="L54" s="508">
        <v>0.003969</v>
      </c>
    </row>
    <row r="55" spans="1:12" ht="13.8" thickBot="1">
      <c r="A55" s="507"/>
      <c r="B55" s="506"/>
      <c r="C55" s="506"/>
      <c r="D55" s="506" t="s">
        <v>365</v>
      </c>
      <c r="E55" s="506"/>
      <c r="F55" s="505">
        <v>6.3</v>
      </c>
      <c r="G55" s="504"/>
      <c r="H55" s="504"/>
      <c r="I55" s="504"/>
      <c r="J55" s="504"/>
      <c r="K55" s="503"/>
      <c r="L55" s="502"/>
    </row>
    <row r="56" spans="1:12" ht="26.25" customHeight="1" thickBot="1">
      <c r="A56" s="519">
        <v>39</v>
      </c>
      <c r="B56" s="518" t="s">
        <v>359</v>
      </c>
      <c r="C56" s="518" t="s">
        <v>364</v>
      </c>
      <c r="D56" s="518" t="s">
        <v>363</v>
      </c>
      <c r="E56" s="518" t="s">
        <v>231</v>
      </c>
      <c r="F56" s="517">
        <v>60</v>
      </c>
      <c r="G56" s="516"/>
      <c r="H56" s="516"/>
      <c r="I56" s="516">
        <f>F56*G56</f>
        <v>0</v>
      </c>
      <c r="J56" s="516">
        <f>I56</f>
        <v>0</v>
      </c>
      <c r="K56" s="515">
        <v>0</v>
      </c>
      <c r="L56" s="514">
        <v>0</v>
      </c>
    </row>
    <row r="57" spans="1:12" ht="22.5" customHeight="1" thickBot="1">
      <c r="A57" s="513">
        <v>40</v>
      </c>
      <c r="B57" s="512" t="s">
        <v>356</v>
      </c>
      <c r="C57" s="512" t="s">
        <v>362</v>
      </c>
      <c r="D57" s="512" t="s">
        <v>361</v>
      </c>
      <c r="E57" s="512" t="s">
        <v>231</v>
      </c>
      <c r="F57" s="511">
        <v>63</v>
      </c>
      <c r="G57" s="510"/>
      <c r="H57" s="510"/>
      <c r="I57" s="510"/>
      <c r="J57" s="510">
        <f>F57*G57</f>
        <v>0</v>
      </c>
      <c r="K57" s="509">
        <v>0.00012</v>
      </c>
      <c r="L57" s="508">
        <v>0.00756</v>
      </c>
    </row>
    <row r="58" spans="1:12" ht="13.8" thickBot="1">
      <c r="A58" s="507"/>
      <c r="B58" s="506"/>
      <c r="C58" s="506"/>
      <c r="D58" s="506" t="s">
        <v>360</v>
      </c>
      <c r="E58" s="506"/>
      <c r="F58" s="505">
        <v>63</v>
      </c>
      <c r="G58" s="504"/>
      <c r="H58" s="504"/>
      <c r="I58" s="504"/>
      <c r="J58" s="504"/>
      <c r="K58" s="503"/>
      <c r="L58" s="502"/>
    </row>
    <row r="59" spans="1:12" ht="25.5" customHeight="1" thickBot="1">
      <c r="A59" s="519">
        <v>41</v>
      </c>
      <c r="B59" s="518" t="s">
        <v>359</v>
      </c>
      <c r="C59" s="518" t="s">
        <v>358</v>
      </c>
      <c r="D59" s="518" t="s">
        <v>357</v>
      </c>
      <c r="E59" s="518" t="s">
        <v>231</v>
      </c>
      <c r="F59" s="517">
        <v>140</v>
      </c>
      <c r="G59" s="516"/>
      <c r="H59" s="516"/>
      <c r="I59" s="516">
        <f>F59*G59</f>
        <v>0</v>
      </c>
      <c r="J59" s="516">
        <f>I59</f>
        <v>0</v>
      </c>
      <c r="K59" s="515">
        <v>0</v>
      </c>
      <c r="L59" s="514">
        <v>0</v>
      </c>
    </row>
    <row r="60" spans="1:12" ht="28.5" customHeight="1" thickBot="1">
      <c r="A60" s="513">
        <v>42</v>
      </c>
      <c r="B60" s="512" t="s">
        <v>356</v>
      </c>
      <c r="C60" s="512" t="s">
        <v>355</v>
      </c>
      <c r="D60" s="512" t="s">
        <v>354</v>
      </c>
      <c r="E60" s="512" t="s">
        <v>231</v>
      </c>
      <c r="F60" s="511">
        <v>147</v>
      </c>
      <c r="G60" s="510"/>
      <c r="H60" s="510"/>
      <c r="I60" s="510"/>
      <c r="J60" s="510">
        <f>F60*G60</f>
        <v>0</v>
      </c>
      <c r="K60" s="509">
        <v>0.00018</v>
      </c>
      <c r="L60" s="508">
        <v>0.02646</v>
      </c>
    </row>
    <row r="61" spans="1:12" ht="13.8" thickBot="1">
      <c r="A61" s="507"/>
      <c r="B61" s="506"/>
      <c r="C61" s="506"/>
      <c r="D61" s="506" t="s">
        <v>353</v>
      </c>
      <c r="E61" s="506"/>
      <c r="F61" s="505">
        <v>147</v>
      </c>
      <c r="G61" s="504"/>
      <c r="H61" s="504"/>
      <c r="I61" s="504"/>
      <c r="J61" s="504"/>
      <c r="K61" s="503"/>
      <c r="L61" s="502"/>
    </row>
    <row r="62" spans="1:12" ht="12.75">
      <c r="A62" s="501"/>
      <c r="B62" s="500"/>
      <c r="C62" s="500"/>
      <c r="D62" s="500" t="s">
        <v>352</v>
      </c>
      <c r="E62" s="500"/>
      <c r="F62" s="497"/>
      <c r="G62" s="499"/>
      <c r="H62" s="499">
        <f>SUM(H13:H61)</f>
        <v>0</v>
      </c>
      <c r="I62" s="499">
        <f>SUM(I13:I61)</f>
        <v>0</v>
      </c>
      <c r="J62" s="499">
        <f>SUM(J13:J61)</f>
        <v>0</v>
      </c>
      <c r="K62" s="498"/>
      <c r="L62" s="498">
        <f>SUM(L13:L61)</f>
        <v>0.503119</v>
      </c>
    </row>
    <row r="63" spans="1:12" ht="12.75">
      <c r="A63" s="496"/>
      <c r="B63" s="496"/>
      <c r="C63" s="496"/>
      <c r="D63" s="496" t="s">
        <v>1189</v>
      </c>
      <c r="E63" s="496"/>
      <c r="F63" s="496"/>
      <c r="G63" s="496"/>
      <c r="H63" s="496"/>
      <c r="I63" s="496"/>
      <c r="J63" s="677">
        <f>I62+J62</f>
        <v>0</v>
      </c>
      <c r="K63" s="496"/>
      <c r="L63" s="495"/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3" r:id="rId1"/>
  <ignoredErrors>
    <ignoredError sqref="I1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3:G35"/>
  <sheetViews>
    <sheetView workbookViewId="0" topLeftCell="A13">
      <selection activeCell="K50" sqref="K50"/>
    </sheetView>
  </sheetViews>
  <sheetFormatPr defaultColWidth="9.00390625" defaultRowHeight="12.75"/>
  <cols>
    <col min="1" max="1" width="9.375" style="0" bestFit="1" customWidth="1"/>
    <col min="2" max="2" width="11.00390625" style="0" bestFit="1" customWidth="1"/>
    <col min="3" max="3" width="41.50390625" style="0" customWidth="1"/>
    <col min="4" max="4" width="9.375" style="0" bestFit="1" customWidth="1"/>
    <col min="6" max="6" width="9.375" style="0" bestFit="1" customWidth="1"/>
    <col min="7" max="7" width="13.875" style="0" customWidth="1"/>
  </cols>
  <sheetData>
    <row r="3" spans="1:7" ht="12.75">
      <c r="A3" s="1629" t="s">
        <v>1035</v>
      </c>
      <c r="B3" s="1630"/>
      <c r="C3" s="1631"/>
      <c r="D3" s="582"/>
      <c r="E3" s="583"/>
      <c r="F3" s="584"/>
      <c r="G3" s="585"/>
    </row>
    <row r="4" spans="1:7" ht="12.75">
      <c r="A4" s="1629" t="s">
        <v>1036</v>
      </c>
      <c r="B4" s="1630"/>
      <c r="C4" s="1630"/>
      <c r="D4" s="582"/>
      <c r="E4" s="583"/>
      <c r="F4" s="584"/>
      <c r="G4" s="586"/>
    </row>
    <row r="5" spans="1:7" ht="12.75">
      <c r="A5" s="587"/>
      <c r="B5" s="588"/>
      <c r="C5" s="588"/>
      <c r="D5" s="582"/>
      <c r="E5" s="583"/>
      <c r="F5" s="584"/>
      <c r="G5" s="586"/>
    </row>
    <row r="6" spans="1:7" ht="24.75" customHeight="1">
      <c r="A6" s="587"/>
      <c r="B6" s="589"/>
      <c r="C6" s="590" t="s">
        <v>1037</v>
      </c>
      <c r="D6" s="582"/>
      <c r="E6" s="583"/>
      <c r="F6" s="584"/>
      <c r="G6" s="586"/>
    </row>
    <row r="7" spans="1:7" ht="12.75">
      <c r="A7" s="591"/>
      <c r="B7" s="591"/>
      <c r="C7" s="592"/>
      <c r="D7" s="593"/>
      <c r="E7" s="594"/>
      <c r="F7" s="593"/>
      <c r="G7" s="591"/>
    </row>
    <row r="8" spans="1:7" ht="15.6">
      <c r="A8" s="595"/>
      <c r="B8" s="595"/>
      <c r="C8" s="590"/>
      <c r="D8" s="593"/>
      <c r="E8" s="594"/>
      <c r="F8" s="596"/>
      <c r="G8" s="597"/>
    </row>
    <row r="9" spans="1:7" ht="32.25" customHeight="1">
      <c r="A9" s="595"/>
      <c r="B9" s="595"/>
      <c r="C9" s="598" t="s">
        <v>1038</v>
      </c>
      <c r="D9" s="593"/>
      <c r="E9" s="594"/>
      <c r="F9" s="596"/>
      <c r="G9" s="597"/>
    </row>
    <row r="10" spans="1:7" ht="12.75">
      <c r="A10" s="599"/>
      <c r="B10" s="600"/>
      <c r="C10" s="599" t="s">
        <v>1039</v>
      </c>
      <c r="D10" s="599" t="s">
        <v>1040</v>
      </c>
      <c r="E10" s="601" t="s">
        <v>1041</v>
      </c>
      <c r="F10" s="602" t="s">
        <v>1042</v>
      </c>
      <c r="G10" s="603" t="s">
        <v>1043</v>
      </c>
    </row>
    <row r="11" spans="1:7" ht="12.75">
      <c r="A11" s="604"/>
      <c r="B11" s="605"/>
      <c r="C11" s="604"/>
      <c r="D11" s="604"/>
      <c r="E11" s="583"/>
      <c r="F11" s="582"/>
      <c r="G11" s="584"/>
    </row>
    <row r="12" spans="1:7" ht="24" customHeight="1">
      <c r="A12" s="591">
        <v>1</v>
      </c>
      <c r="B12" s="591">
        <v>2200100010</v>
      </c>
      <c r="C12" s="592" t="s">
        <v>1044</v>
      </c>
      <c r="D12" s="593">
        <v>1</v>
      </c>
      <c r="E12" s="594" t="s">
        <v>757</v>
      </c>
      <c r="F12" s="596">
        <v>0</v>
      </c>
      <c r="G12" s="597">
        <f aca="true" t="shared" si="0" ref="G12:G24">PRODUCT(D12,F12)</f>
        <v>0</v>
      </c>
    </row>
    <row r="13" spans="1:7" ht="22.5" customHeight="1">
      <c r="A13" s="591">
        <v>2</v>
      </c>
      <c r="B13" s="591">
        <v>2200100020</v>
      </c>
      <c r="C13" s="592" t="s">
        <v>1045</v>
      </c>
      <c r="D13" s="593">
        <v>1</v>
      </c>
      <c r="E13" s="594" t="s">
        <v>757</v>
      </c>
      <c r="F13" s="596">
        <v>0</v>
      </c>
      <c r="G13" s="597">
        <f t="shared" si="0"/>
        <v>0</v>
      </c>
    </row>
    <row r="14" spans="1:7" ht="21" customHeight="1">
      <c r="A14" s="591">
        <v>3</v>
      </c>
      <c r="B14" s="591">
        <v>2200100030</v>
      </c>
      <c r="C14" s="592" t="s">
        <v>1046</v>
      </c>
      <c r="D14" s="593">
        <v>100</v>
      </c>
      <c r="E14" s="594" t="s">
        <v>757</v>
      </c>
      <c r="F14" s="596">
        <v>0</v>
      </c>
      <c r="G14" s="597">
        <f>PRODUCT(D14,F14)</f>
        <v>0</v>
      </c>
    </row>
    <row r="15" spans="1:7" ht="24" customHeight="1">
      <c r="A15" s="591">
        <v>4</v>
      </c>
      <c r="B15" s="591">
        <v>2200100040</v>
      </c>
      <c r="C15" s="592" t="s">
        <v>1047</v>
      </c>
      <c r="D15" s="593">
        <v>5</v>
      </c>
      <c r="E15" s="594" t="s">
        <v>757</v>
      </c>
      <c r="F15" s="596">
        <v>0</v>
      </c>
      <c r="G15" s="597">
        <f t="shared" si="0"/>
        <v>0</v>
      </c>
    </row>
    <row r="16" spans="1:7" ht="20.25" customHeight="1">
      <c r="A16" s="591">
        <v>5</v>
      </c>
      <c r="B16" s="591">
        <v>2200100050</v>
      </c>
      <c r="C16" s="592" t="s">
        <v>1048</v>
      </c>
      <c r="D16" s="593">
        <v>5</v>
      </c>
      <c r="E16" s="594" t="s">
        <v>757</v>
      </c>
      <c r="F16" s="596">
        <v>0</v>
      </c>
      <c r="G16" s="597">
        <f>PRODUCT(D16,F16)</f>
        <v>0</v>
      </c>
    </row>
    <row r="17" spans="1:7" ht="21.75" customHeight="1">
      <c r="A17" s="591">
        <v>6</v>
      </c>
      <c r="B17" s="591">
        <v>2200100060</v>
      </c>
      <c r="C17" s="592" t="s">
        <v>1049</v>
      </c>
      <c r="D17" s="593">
        <v>5</v>
      </c>
      <c r="E17" s="594" t="s">
        <v>757</v>
      </c>
      <c r="F17" s="596">
        <v>0</v>
      </c>
      <c r="G17" s="597">
        <f t="shared" si="0"/>
        <v>0</v>
      </c>
    </row>
    <row r="18" spans="1:7" ht="19.5" customHeight="1">
      <c r="A18" s="591">
        <v>7</v>
      </c>
      <c r="B18" s="591">
        <v>2200100070</v>
      </c>
      <c r="C18" s="592" t="s">
        <v>1050</v>
      </c>
      <c r="D18" s="593">
        <v>5</v>
      </c>
      <c r="E18" s="594" t="s">
        <v>757</v>
      </c>
      <c r="F18" s="596">
        <v>0</v>
      </c>
      <c r="G18" s="597">
        <f t="shared" si="0"/>
        <v>0</v>
      </c>
    </row>
    <row r="19" spans="1:7" ht="25.5" customHeight="1">
      <c r="A19" s="591">
        <v>8</v>
      </c>
      <c r="B19" s="591">
        <v>2200100080</v>
      </c>
      <c r="C19" s="592" t="s">
        <v>1051</v>
      </c>
      <c r="D19" s="593">
        <v>20</v>
      </c>
      <c r="E19" s="594" t="s">
        <v>757</v>
      </c>
      <c r="F19" s="596">
        <v>0</v>
      </c>
      <c r="G19" s="597">
        <f t="shared" si="0"/>
        <v>0</v>
      </c>
    </row>
    <row r="20" spans="1:7" ht="25.5" customHeight="1">
      <c r="A20" s="591">
        <v>9</v>
      </c>
      <c r="B20" s="591">
        <v>2200100090</v>
      </c>
      <c r="C20" s="592" t="s">
        <v>1052</v>
      </c>
      <c r="D20" s="593">
        <v>10</v>
      </c>
      <c r="E20" s="594" t="s">
        <v>757</v>
      </c>
      <c r="F20" s="596">
        <v>0</v>
      </c>
      <c r="G20" s="597">
        <f t="shared" si="0"/>
        <v>0</v>
      </c>
    </row>
    <row r="21" spans="1:7" ht="23.25" customHeight="1">
      <c r="A21" s="591">
        <v>10</v>
      </c>
      <c r="B21" s="591">
        <v>2200100100</v>
      </c>
      <c r="C21" s="606" t="s">
        <v>1053</v>
      </c>
      <c r="D21" s="582">
        <v>5</v>
      </c>
      <c r="E21" s="583" t="s">
        <v>757</v>
      </c>
      <c r="F21" s="596">
        <v>0</v>
      </c>
      <c r="G21" s="597">
        <f t="shared" si="0"/>
        <v>0</v>
      </c>
    </row>
    <row r="22" spans="1:7" ht="21" customHeight="1">
      <c r="A22" s="591">
        <v>11</v>
      </c>
      <c r="B22" s="591">
        <v>2200100110</v>
      </c>
      <c r="C22" s="606" t="s">
        <v>1054</v>
      </c>
      <c r="D22" s="582">
        <v>25</v>
      </c>
      <c r="E22" s="583" t="s">
        <v>231</v>
      </c>
      <c r="F22" s="596">
        <v>0</v>
      </c>
      <c r="G22" s="597">
        <f t="shared" si="0"/>
        <v>0</v>
      </c>
    </row>
    <row r="23" spans="1:7" ht="24.75" customHeight="1">
      <c r="A23" s="591">
        <v>12</v>
      </c>
      <c r="B23" s="591">
        <v>2200100120</v>
      </c>
      <c r="C23" s="606" t="s">
        <v>1055</v>
      </c>
      <c r="D23" s="582">
        <v>25</v>
      </c>
      <c r="E23" s="583" t="s">
        <v>231</v>
      </c>
      <c r="F23" s="596">
        <v>0</v>
      </c>
      <c r="G23" s="597">
        <f t="shared" si="0"/>
        <v>0</v>
      </c>
    </row>
    <row r="24" spans="1:7" ht="12.75">
      <c r="A24" s="591">
        <v>13</v>
      </c>
      <c r="B24" s="591">
        <v>2200100130</v>
      </c>
      <c r="C24" s="592" t="s">
        <v>1056</v>
      </c>
      <c r="D24" s="593">
        <v>25</v>
      </c>
      <c r="E24" s="594" t="s">
        <v>231</v>
      </c>
      <c r="F24" s="596">
        <v>0</v>
      </c>
      <c r="G24" s="597">
        <f t="shared" si="0"/>
        <v>0</v>
      </c>
    </row>
    <row r="25" spans="1:7" ht="48.75" customHeight="1">
      <c r="A25" s="591">
        <v>14</v>
      </c>
      <c r="B25" s="591">
        <v>2200100140</v>
      </c>
      <c r="C25" s="592" t="s">
        <v>1057</v>
      </c>
      <c r="D25" s="607">
        <v>1</v>
      </c>
      <c r="E25" s="594" t="s">
        <v>757</v>
      </c>
      <c r="F25" s="596">
        <v>0</v>
      </c>
      <c r="G25" s="597">
        <f>PRODUCT(D25,F25)</f>
        <v>0</v>
      </c>
    </row>
    <row r="26" spans="1:7" ht="27.75" customHeight="1">
      <c r="A26" s="591">
        <v>15</v>
      </c>
      <c r="B26" s="591">
        <v>2200100150</v>
      </c>
      <c r="C26" s="592" t="s">
        <v>1058</v>
      </c>
      <c r="D26" s="607">
        <v>1</v>
      </c>
      <c r="E26" s="594" t="s">
        <v>757</v>
      </c>
      <c r="F26" s="596">
        <v>0</v>
      </c>
      <c r="G26" s="597">
        <f>PRODUCT(D26,F26)</f>
        <v>0</v>
      </c>
    </row>
    <row r="27" spans="1:7" ht="25.5" customHeight="1">
      <c r="A27" s="591">
        <v>16</v>
      </c>
      <c r="B27" s="591">
        <v>2200100160</v>
      </c>
      <c r="C27" s="592" t="s">
        <v>1059</v>
      </c>
      <c r="D27" s="607">
        <v>1</v>
      </c>
      <c r="E27" s="594" t="s">
        <v>757</v>
      </c>
      <c r="F27" s="596">
        <v>0</v>
      </c>
      <c r="G27" s="597">
        <f>PRODUCT(D27,F27)</f>
        <v>0</v>
      </c>
    </row>
    <row r="28" spans="1:7" ht="24" customHeight="1">
      <c r="A28" s="591">
        <v>17</v>
      </c>
      <c r="B28" s="591">
        <v>2200100170</v>
      </c>
      <c r="C28" s="592" t="s">
        <v>1060</v>
      </c>
      <c r="D28" s="607">
        <v>1</v>
      </c>
      <c r="E28" s="594" t="s">
        <v>757</v>
      </c>
      <c r="F28" s="596">
        <v>0</v>
      </c>
      <c r="G28" s="597">
        <f>PRODUCT(D28,F28)</f>
        <v>0</v>
      </c>
    </row>
    <row r="29" spans="1:7" ht="26.25" customHeight="1">
      <c r="A29" s="591">
        <v>18</v>
      </c>
      <c r="B29" s="591">
        <v>2200300090</v>
      </c>
      <c r="C29" s="592" t="s">
        <v>1061</v>
      </c>
      <c r="D29" s="604">
        <v>1</v>
      </c>
      <c r="E29" s="583" t="s">
        <v>757</v>
      </c>
      <c r="F29" s="596">
        <v>0</v>
      </c>
      <c r="G29" s="597">
        <f>PRODUCT(D29:F29)</f>
        <v>0</v>
      </c>
    </row>
    <row r="30" spans="1:7" ht="12.75">
      <c r="A30" s="591"/>
      <c r="B30" s="604"/>
      <c r="C30" s="606"/>
      <c r="D30" s="582"/>
      <c r="E30" s="583"/>
      <c r="F30" s="584"/>
      <c r="G30" s="585"/>
    </row>
    <row r="31" spans="1:7" ht="12.75">
      <c r="A31" s="591"/>
      <c r="B31" s="604"/>
      <c r="C31" s="606"/>
      <c r="D31" s="582"/>
      <c r="E31" s="583"/>
      <c r="F31" s="584"/>
      <c r="G31" s="585"/>
    </row>
    <row r="32" spans="1:7" ht="12.75">
      <c r="A32" s="599"/>
      <c r="B32" s="599"/>
      <c r="C32" s="608"/>
      <c r="D32" s="602"/>
      <c r="E32" s="601"/>
      <c r="F32" s="603"/>
      <c r="G32" s="603"/>
    </row>
    <row r="33" spans="1:7" ht="12.75">
      <c r="A33" s="591"/>
      <c r="B33" s="591"/>
      <c r="C33" s="592"/>
      <c r="D33" s="593"/>
      <c r="E33" s="594"/>
      <c r="F33" s="596"/>
      <c r="G33" s="597"/>
    </row>
    <row r="34" spans="1:7" ht="35.25" customHeight="1">
      <c r="A34" s="595"/>
      <c r="B34" s="595"/>
      <c r="C34" s="590" t="s">
        <v>1062</v>
      </c>
      <c r="D34" s="609"/>
      <c r="E34" s="592"/>
      <c r="F34" s="609"/>
      <c r="G34" s="610">
        <f>SUM(G3:G33)</f>
        <v>0</v>
      </c>
    </row>
    <row r="35" spans="1:7" ht="12.75">
      <c r="A35" s="611"/>
      <c r="B35" s="611"/>
      <c r="C35" s="612"/>
      <c r="D35" s="613"/>
      <c r="E35" s="612"/>
      <c r="F35" s="613"/>
      <c r="G35" s="612"/>
    </row>
  </sheetData>
  <mergeCells count="2">
    <mergeCell ref="A3:C3"/>
    <mergeCell ref="A4:C4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E55"/>
  <sheetViews>
    <sheetView workbookViewId="0" topLeftCell="A1">
      <selection activeCell="L30" sqref="L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89" t="s">
        <v>126</v>
      </c>
      <c r="B1" s="188"/>
      <c r="C1" s="188"/>
      <c r="D1" s="188"/>
      <c r="E1" s="188"/>
      <c r="F1" s="188"/>
      <c r="G1" s="188"/>
    </row>
    <row r="2" spans="1:7" ht="12.75" customHeight="1">
      <c r="A2" s="187" t="s">
        <v>125</v>
      </c>
      <c r="B2" s="186"/>
      <c r="C2" s="185">
        <f>'[1]Rekapitulace'!H1</f>
        <v>0</v>
      </c>
      <c r="D2" s="185" t="s">
        <v>279</v>
      </c>
      <c r="E2" s="184"/>
      <c r="F2" s="183" t="s">
        <v>124</v>
      </c>
      <c r="G2" s="182"/>
    </row>
    <row r="3" spans="1:7" ht="3" customHeight="1" hidden="1">
      <c r="A3" s="133"/>
      <c r="B3" s="151"/>
      <c r="C3" s="174"/>
      <c r="D3" s="174"/>
      <c r="E3" s="173"/>
      <c r="F3" s="155"/>
      <c r="G3" s="176"/>
    </row>
    <row r="4" spans="1:7" ht="12" customHeight="1">
      <c r="A4" s="175" t="s">
        <v>123</v>
      </c>
      <c r="B4" s="151"/>
      <c r="C4" s="174" t="s">
        <v>280</v>
      </c>
      <c r="D4" s="174"/>
      <c r="E4" s="173"/>
      <c r="F4" s="155" t="s">
        <v>122</v>
      </c>
      <c r="G4" s="181"/>
    </row>
    <row r="5" spans="1:7" ht="12.9" customHeight="1">
      <c r="A5" s="180" t="s">
        <v>18</v>
      </c>
      <c r="B5" s="177"/>
      <c r="C5" s="179" t="s">
        <v>19</v>
      </c>
      <c r="D5" s="178"/>
      <c r="E5" s="177"/>
      <c r="F5" s="155" t="s">
        <v>121</v>
      </c>
      <c r="G5" s="176"/>
    </row>
    <row r="6" spans="1:15" ht="12.9" customHeight="1">
      <c r="A6" s="175" t="s">
        <v>120</v>
      </c>
      <c r="B6" s="151"/>
      <c r="C6" s="174" t="s">
        <v>281</v>
      </c>
      <c r="D6" s="174"/>
      <c r="E6" s="173"/>
      <c r="F6" s="172" t="s">
        <v>119</v>
      </c>
      <c r="G6" s="165">
        <v>0</v>
      </c>
      <c r="O6" s="253"/>
    </row>
    <row r="7" spans="1:7" ht="12.9" customHeight="1">
      <c r="A7" s="170" t="s">
        <v>12</v>
      </c>
      <c r="B7" s="169"/>
      <c r="C7" s="168" t="s">
        <v>13</v>
      </c>
      <c r="D7" s="167"/>
      <c r="E7" s="167"/>
      <c r="F7" s="166" t="s">
        <v>118</v>
      </c>
      <c r="G7" s="165">
        <f>IF(ASD=0,,ROUND((F30+F32)/ASD,1))</f>
        <v>0</v>
      </c>
    </row>
    <row r="8" spans="1:9" ht="12.75">
      <c r="A8" s="156" t="s">
        <v>117</v>
      </c>
      <c r="B8" s="155"/>
      <c r="C8" s="1570"/>
      <c r="D8" s="1570"/>
      <c r="E8" s="1571"/>
      <c r="F8" s="164" t="s">
        <v>116</v>
      </c>
      <c r="G8" s="163"/>
      <c r="H8" s="254"/>
      <c r="I8" s="255"/>
    </row>
    <row r="9" spans="1:8" ht="12.75">
      <c r="A9" s="156" t="s">
        <v>115</v>
      </c>
      <c r="B9" s="155"/>
      <c r="C9" s="1570">
        <f>Projektant</f>
        <v>0</v>
      </c>
      <c r="D9" s="1570"/>
      <c r="E9" s="1571"/>
      <c r="F9" s="155"/>
      <c r="G9" s="160"/>
      <c r="H9" s="256"/>
    </row>
    <row r="10" spans="1:8" ht="12.75">
      <c r="A10" s="156" t="s">
        <v>114</v>
      </c>
      <c r="B10" s="155"/>
      <c r="C10" s="1570"/>
      <c r="D10" s="1570"/>
      <c r="E10" s="1570"/>
      <c r="F10" s="159"/>
      <c r="G10" s="158"/>
      <c r="H10" s="257"/>
    </row>
    <row r="11" spans="1:57" ht="13.5" customHeight="1">
      <c r="A11" s="156" t="s">
        <v>113</v>
      </c>
      <c r="B11" s="155"/>
      <c r="C11" s="1570"/>
      <c r="D11" s="1570"/>
      <c r="E11" s="1570"/>
      <c r="F11" s="154" t="s">
        <v>112</v>
      </c>
      <c r="G11" s="153"/>
      <c r="H11" s="256"/>
      <c r="BA11" s="258"/>
      <c r="BB11" s="258"/>
      <c r="BC11" s="258"/>
      <c r="BD11" s="258"/>
      <c r="BE11" s="258"/>
    </row>
    <row r="12" spans="1:8" ht="12.75" customHeight="1">
      <c r="A12" s="152" t="s">
        <v>111</v>
      </c>
      <c r="B12" s="151"/>
      <c r="C12" s="1572"/>
      <c r="D12" s="1572"/>
      <c r="E12" s="1572"/>
      <c r="F12" s="150" t="s">
        <v>110</v>
      </c>
      <c r="G12" s="149"/>
      <c r="H12" s="256"/>
    </row>
    <row r="13" spans="1:8" ht="28.5" customHeight="1" thickBot="1">
      <c r="A13" s="148" t="s">
        <v>109</v>
      </c>
      <c r="B13" s="147"/>
      <c r="C13" s="147"/>
      <c r="D13" s="147"/>
      <c r="E13" s="146"/>
      <c r="F13" s="146"/>
      <c r="G13" s="145"/>
      <c r="H13" s="256"/>
    </row>
    <row r="14" spans="1:7" ht="17.25" customHeight="1" thickBot="1">
      <c r="A14" s="144" t="s">
        <v>108</v>
      </c>
      <c r="B14" s="143"/>
      <c r="C14" s="140"/>
      <c r="D14" s="142" t="s">
        <v>107</v>
      </c>
      <c r="E14" s="141"/>
      <c r="F14" s="141"/>
      <c r="G14" s="140"/>
    </row>
    <row r="15" spans="1:7" ht="15.9" customHeight="1">
      <c r="A15" s="136"/>
      <c r="B15" s="62" t="s">
        <v>106</v>
      </c>
      <c r="C15" s="127">
        <f>'z04 1R'!HSV</f>
        <v>0</v>
      </c>
      <c r="D15" s="139" t="str">
        <f>'[1]Rekapitulace'!A35</f>
        <v>Ztížené výrobní podmínky</v>
      </c>
      <c r="E15" s="138"/>
      <c r="F15" s="137"/>
      <c r="G15" s="127">
        <f>'[1]Rekapitulace'!I35</f>
        <v>0</v>
      </c>
    </row>
    <row r="16" spans="1:7" ht="15.9" customHeight="1">
      <c r="A16" s="136" t="s">
        <v>105</v>
      </c>
      <c r="B16" s="62" t="s">
        <v>104</v>
      </c>
      <c r="C16" s="127">
        <f>'z04 1R'!PSV</f>
        <v>0</v>
      </c>
      <c r="D16" s="133" t="str">
        <f>'[1]Rekapitulace'!A36</f>
        <v>Oborová přirážka</v>
      </c>
      <c r="E16" s="132"/>
      <c r="F16" s="108"/>
      <c r="G16" s="127">
        <f>'[1]Rekapitulace'!I36</f>
        <v>0</v>
      </c>
    </row>
    <row r="17" spans="1:7" ht="15.9" customHeight="1">
      <c r="A17" s="136" t="s">
        <v>103</v>
      </c>
      <c r="B17" s="62" t="s">
        <v>102</v>
      </c>
      <c r="C17" s="127">
        <f>XVC</f>
        <v>0</v>
      </c>
      <c r="D17" s="133" t="str">
        <f>'[1]Rekapitulace'!A37</f>
        <v>Přesun stavebních kapacit</v>
      </c>
      <c r="E17" s="132"/>
      <c r="F17" s="108"/>
      <c r="G17" s="127">
        <f>'[1]Rekapitulace'!I37</f>
        <v>0</v>
      </c>
    </row>
    <row r="18" spans="1:7" ht="15.9" customHeight="1">
      <c r="A18" s="135" t="s">
        <v>101</v>
      </c>
      <c r="B18" s="134" t="s">
        <v>100</v>
      </c>
      <c r="C18" s="127">
        <f>FG</f>
        <v>0</v>
      </c>
      <c r="D18" s="133" t="str">
        <f>'[1]Rekapitulace'!A38</f>
        <v>Mimostaveništní doprava</v>
      </c>
      <c r="E18" s="132"/>
      <c r="F18" s="108"/>
      <c r="G18" s="127">
        <f>'[1]Rekapitulace'!I38</f>
        <v>0</v>
      </c>
    </row>
    <row r="19" spans="1:7" ht="15.9" customHeight="1">
      <c r="A19" s="63" t="s">
        <v>99</v>
      </c>
      <c r="B19" s="62"/>
      <c r="C19" s="127">
        <f>SUM(C15:C18)</f>
        <v>0</v>
      </c>
      <c r="D19" s="133" t="str">
        <f>'[1]Rekapitulace'!A39</f>
        <v>Zařízení staveniště</v>
      </c>
      <c r="E19" s="132"/>
      <c r="F19" s="108"/>
      <c r="G19" s="127">
        <f>'z04 1R'!I39</f>
        <v>0</v>
      </c>
    </row>
    <row r="20" spans="1:7" ht="15.9" customHeight="1">
      <c r="A20" s="63"/>
      <c r="B20" s="62"/>
      <c r="C20" s="127"/>
      <c r="D20" s="133" t="str">
        <f>'[1]Rekapitulace'!A40</f>
        <v>Provoz investora</v>
      </c>
      <c r="E20" s="132"/>
      <c r="F20" s="108"/>
      <c r="G20" s="127">
        <f>'[1]Rekapitulace'!I40</f>
        <v>0</v>
      </c>
    </row>
    <row r="21" spans="1:7" ht="15.9" customHeight="1">
      <c r="A21" s="63" t="s">
        <v>70</v>
      </c>
      <c r="B21" s="62"/>
      <c r="C21" s="127">
        <f>YXCV</f>
        <v>0</v>
      </c>
      <c r="D21" s="133" t="str">
        <f>'[1]Rekapitulace'!A41</f>
        <v>Kompletační činnost (IČD)</v>
      </c>
      <c r="E21" s="132"/>
      <c r="F21" s="108"/>
      <c r="G21" s="127">
        <f>'z04 1R'!I41</f>
        <v>0</v>
      </c>
    </row>
    <row r="22" spans="1:7" ht="15.9" customHeight="1">
      <c r="A22" s="118" t="s">
        <v>98</v>
      </c>
      <c r="B22" s="74"/>
      <c r="C22" s="127">
        <f>C19+C21</f>
        <v>0</v>
      </c>
      <c r="D22" s="133" t="s">
        <v>97</v>
      </c>
      <c r="E22" s="132"/>
      <c r="F22" s="108"/>
      <c r="G22" s="127"/>
    </row>
    <row r="23" spans="1:7" ht="15.9" customHeight="1" thickBot="1">
      <c r="A23" s="1568" t="s">
        <v>96</v>
      </c>
      <c r="B23" s="1569"/>
      <c r="C23" s="131">
        <f>C22+G23</f>
        <v>0</v>
      </c>
      <c r="D23" s="130" t="s">
        <v>95</v>
      </c>
      <c r="E23" s="129"/>
      <c r="F23" s="128"/>
      <c r="G23" s="127">
        <f>G21+G19</f>
        <v>0</v>
      </c>
    </row>
    <row r="24" spans="1:7" ht="12.75">
      <c r="A24" s="71" t="s">
        <v>94</v>
      </c>
      <c r="B24" s="70"/>
      <c r="C24" s="126"/>
      <c r="D24" s="70" t="s">
        <v>93</v>
      </c>
      <c r="E24" s="70"/>
      <c r="F24" s="125" t="s">
        <v>92</v>
      </c>
      <c r="G24" s="124"/>
    </row>
    <row r="25" spans="1:7" ht="12.75">
      <c r="A25" s="118" t="s">
        <v>91</v>
      </c>
      <c r="B25" s="74"/>
      <c r="C25" s="120"/>
      <c r="D25" s="74" t="s">
        <v>91</v>
      </c>
      <c r="E25" s="1"/>
      <c r="F25" s="121" t="s">
        <v>91</v>
      </c>
      <c r="G25" s="115"/>
    </row>
    <row r="26" spans="1:7" ht="37.5" customHeight="1">
      <c r="A26" s="118" t="s">
        <v>90</v>
      </c>
      <c r="B26" s="123"/>
      <c r="C26" s="120"/>
      <c r="D26" s="74" t="s">
        <v>90</v>
      </c>
      <c r="E26" s="1"/>
      <c r="F26" s="121" t="s">
        <v>90</v>
      </c>
      <c r="G26" s="115"/>
    </row>
    <row r="27" spans="1:7" ht="12.75">
      <c r="A27" s="118"/>
      <c r="B27" s="122"/>
      <c r="C27" s="120"/>
      <c r="D27" s="74"/>
      <c r="E27" s="1"/>
      <c r="F27" s="121"/>
      <c r="G27" s="115"/>
    </row>
    <row r="28" spans="1:7" ht="12.75">
      <c r="A28" s="118" t="s">
        <v>89</v>
      </c>
      <c r="B28" s="74"/>
      <c r="C28" s="120"/>
      <c r="D28" s="121" t="s">
        <v>88</v>
      </c>
      <c r="E28" s="120"/>
      <c r="F28" s="119" t="s">
        <v>88</v>
      </c>
      <c r="G28" s="115"/>
    </row>
    <row r="29" spans="1:7" ht="69" customHeight="1">
      <c r="A29" s="118"/>
      <c r="B29" s="74"/>
      <c r="C29" s="116"/>
      <c r="D29" s="117"/>
      <c r="E29" s="116"/>
      <c r="F29" s="74"/>
      <c r="G29" s="115"/>
    </row>
    <row r="30" spans="1:7" ht="12.75">
      <c r="A30" s="112" t="s">
        <v>8</v>
      </c>
      <c r="B30" s="109"/>
      <c r="C30" s="114">
        <v>21</v>
      </c>
      <c r="D30" s="109" t="s">
        <v>87</v>
      </c>
      <c r="E30" s="113"/>
      <c r="F30" s="1574">
        <f>C23-F32</f>
        <v>0</v>
      </c>
      <c r="G30" s="1575"/>
    </row>
    <row r="31" spans="1:7" ht="12.75">
      <c r="A31" s="112" t="s">
        <v>86</v>
      </c>
      <c r="B31" s="109"/>
      <c r="C31" s="114">
        <f>APSP</f>
        <v>21</v>
      </c>
      <c r="D31" s="109" t="s">
        <v>85</v>
      </c>
      <c r="E31" s="113"/>
      <c r="F31" s="1574">
        <f>ROUND(PRODUCT(F30,C31/100),0)</f>
        <v>0</v>
      </c>
      <c r="G31" s="1575"/>
    </row>
    <row r="32" spans="1:7" ht="12.75">
      <c r="A32" s="112" t="s">
        <v>8</v>
      </c>
      <c r="B32" s="109"/>
      <c r="C32" s="114">
        <v>0</v>
      </c>
      <c r="D32" s="109" t="s">
        <v>85</v>
      </c>
      <c r="E32" s="113"/>
      <c r="F32" s="1574">
        <v>0</v>
      </c>
      <c r="G32" s="1575"/>
    </row>
    <row r="33" spans="1:7" ht="12.75">
      <c r="A33" s="112" t="s">
        <v>86</v>
      </c>
      <c r="B33" s="111"/>
      <c r="C33" s="110">
        <f>YXCC</f>
        <v>0</v>
      </c>
      <c r="D33" s="109" t="s">
        <v>85</v>
      </c>
      <c r="E33" s="108"/>
      <c r="F33" s="1574">
        <f>ROUND(PRODUCT(F32,C33/100),0)</f>
        <v>0</v>
      </c>
      <c r="G33" s="1575"/>
    </row>
    <row r="34" spans="1:7" s="259" customFormat="1" ht="19.5" customHeight="1" thickBot="1">
      <c r="A34" s="107" t="s">
        <v>84</v>
      </c>
      <c r="B34" s="106"/>
      <c r="C34" s="106"/>
      <c r="D34" s="106"/>
      <c r="E34" s="105"/>
      <c r="F34" s="1576">
        <f>ROUND(SUM(F30:F33),0)</f>
        <v>0</v>
      </c>
      <c r="G34" s="1577"/>
    </row>
    <row r="36" spans="1:8" ht="12.75">
      <c r="A36" s="260" t="s">
        <v>83</v>
      </c>
      <c r="B36" s="260"/>
      <c r="C36" s="260"/>
      <c r="D36" s="260"/>
      <c r="E36" s="260"/>
      <c r="F36" s="260"/>
      <c r="G36" s="260"/>
      <c r="H36" t="s">
        <v>1</v>
      </c>
    </row>
    <row r="37" spans="1:8" ht="14.25" customHeight="1">
      <c r="A37" s="260"/>
      <c r="B37" s="1599"/>
      <c r="C37" s="1599"/>
      <c r="D37" s="1599"/>
      <c r="E37" s="1599"/>
      <c r="F37" s="1599"/>
      <c r="G37" s="1599"/>
      <c r="H37" t="s">
        <v>1</v>
      </c>
    </row>
    <row r="38" spans="1:8" ht="12.75" customHeight="1">
      <c r="A38" s="261"/>
      <c r="B38" s="1599"/>
      <c r="C38" s="1599"/>
      <c r="D38" s="1599"/>
      <c r="E38" s="1599"/>
      <c r="F38" s="1599"/>
      <c r="G38" s="1599"/>
      <c r="H38" t="s">
        <v>1</v>
      </c>
    </row>
    <row r="39" spans="1:8" ht="12.75">
      <c r="A39" s="261"/>
      <c r="B39" s="1599"/>
      <c r="C39" s="1599"/>
      <c r="D39" s="1599"/>
      <c r="E39" s="1599"/>
      <c r="F39" s="1599"/>
      <c r="G39" s="1599"/>
      <c r="H39" t="s">
        <v>1</v>
      </c>
    </row>
    <row r="40" spans="1:8" ht="12.75">
      <c r="A40" s="261"/>
      <c r="B40" s="1599"/>
      <c r="C40" s="1599"/>
      <c r="D40" s="1599"/>
      <c r="E40" s="1599"/>
      <c r="F40" s="1599"/>
      <c r="G40" s="1599"/>
      <c r="H40" t="s">
        <v>1</v>
      </c>
    </row>
    <row r="41" spans="1:8" ht="12.75">
      <c r="A41" s="261"/>
      <c r="B41" s="1599"/>
      <c r="C41" s="1599"/>
      <c r="D41" s="1599"/>
      <c r="E41" s="1599"/>
      <c r="F41" s="1599"/>
      <c r="G41" s="1599"/>
      <c r="H41" t="s">
        <v>1</v>
      </c>
    </row>
    <row r="42" spans="1:8" ht="12.75">
      <c r="A42" s="261"/>
      <c r="B42" s="1599"/>
      <c r="C42" s="1599"/>
      <c r="D42" s="1599"/>
      <c r="E42" s="1599"/>
      <c r="F42" s="1599"/>
      <c r="G42" s="1599"/>
      <c r="H42" t="s">
        <v>1</v>
      </c>
    </row>
    <row r="43" spans="1:8" ht="12.75">
      <c r="A43" s="261"/>
      <c r="B43" s="1599"/>
      <c r="C43" s="1599"/>
      <c r="D43" s="1599"/>
      <c r="E43" s="1599"/>
      <c r="F43" s="1599"/>
      <c r="G43" s="1599"/>
      <c r="H43" t="s">
        <v>1</v>
      </c>
    </row>
    <row r="44" spans="1:8" ht="12.75">
      <c r="A44" s="261"/>
      <c r="B44" s="1599"/>
      <c r="C44" s="1599"/>
      <c r="D44" s="1599"/>
      <c r="E44" s="1599"/>
      <c r="F44" s="1599"/>
      <c r="G44" s="1599"/>
      <c r="H44" t="s">
        <v>1</v>
      </c>
    </row>
    <row r="45" spans="1:8" ht="0.75" customHeight="1">
      <c r="A45" s="261"/>
      <c r="B45" s="1599"/>
      <c r="C45" s="1599"/>
      <c r="D45" s="1599"/>
      <c r="E45" s="1599"/>
      <c r="F45" s="1599"/>
      <c r="G45" s="1599"/>
      <c r="H45" t="s">
        <v>1</v>
      </c>
    </row>
    <row r="46" spans="2:7" ht="12.75">
      <c r="B46" s="1600"/>
      <c r="C46" s="1600"/>
      <c r="D46" s="1600"/>
      <c r="E46" s="1600"/>
      <c r="F46" s="1600"/>
      <c r="G46" s="1600"/>
    </row>
    <row r="47" spans="2:7" ht="12.75">
      <c r="B47" s="1600"/>
      <c r="C47" s="1600"/>
      <c r="D47" s="1600"/>
      <c r="E47" s="1600"/>
      <c r="F47" s="1600"/>
      <c r="G47" s="1600"/>
    </row>
    <row r="48" spans="2:7" ht="12.75">
      <c r="B48" s="1600"/>
      <c r="C48" s="1600"/>
      <c r="D48" s="1600"/>
      <c r="E48" s="1600"/>
      <c r="F48" s="1600"/>
      <c r="G48" s="1600"/>
    </row>
    <row r="49" spans="2:7" ht="12.75">
      <c r="B49" s="1600"/>
      <c r="C49" s="1600"/>
      <c r="D49" s="1600"/>
      <c r="E49" s="1600"/>
      <c r="F49" s="1600"/>
      <c r="G49" s="1600"/>
    </row>
    <row r="50" spans="2:7" ht="12.75">
      <c r="B50" s="1600"/>
      <c r="C50" s="1600"/>
      <c r="D50" s="1600"/>
      <c r="E50" s="1600"/>
      <c r="F50" s="1600"/>
      <c r="G50" s="1600"/>
    </row>
    <row r="51" spans="2:7" ht="12.75">
      <c r="B51" s="1600"/>
      <c r="C51" s="1600"/>
      <c r="D51" s="1600"/>
      <c r="E51" s="1600"/>
      <c r="F51" s="1600"/>
      <c r="G51" s="1600"/>
    </row>
    <row r="52" spans="2:7" ht="12.75">
      <c r="B52" s="1600"/>
      <c r="C52" s="1600"/>
      <c r="D52" s="1600"/>
      <c r="E52" s="1600"/>
      <c r="F52" s="1600"/>
      <c r="G52" s="1600"/>
    </row>
    <row r="53" spans="2:7" ht="12.75">
      <c r="B53" s="1600"/>
      <c r="C53" s="1600"/>
      <c r="D53" s="1600"/>
      <c r="E53" s="1600"/>
      <c r="F53" s="1600"/>
      <c r="G53" s="1600"/>
    </row>
    <row r="54" spans="2:7" ht="12.75">
      <c r="B54" s="1600"/>
      <c r="C54" s="1600"/>
      <c r="D54" s="1600"/>
      <c r="E54" s="1600"/>
      <c r="F54" s="1600"/>
      <c r="G54" s="1600"/>
    </row>
    <row r="55" spans="2:7" ht="12.75">
      <c r="B55" s="1600"/>
      <c r="C55" s="1600"/>
      <c r="D55" s="1600"/>
      <c r="E55" s="1600"/>
      <c r="F55" s="1600"/>
      <c r="G55" s="160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E9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579" t="s">
        <v>2</v>
      </c>
      <c r="B1" s="1580"/>
      <c r="C1" s="102" t="e">
        <f>CONCATENATE(cislostavby," ",nazevstavby)</f>
        <v>#REF!</v>
      </c>
      <c r="D1" s="100"/>
      <c r="E1" s="101"/>
      <c r="F1" s="100"/>
      <c r="G1" s="99" t="s">
        <v>81</v>
      </c>
      <c r="H1" s="98"/>
      <c r="I1" s="97"/>
    </row>
    <row r="2" spans="1:9" ht="13.8" thickBot="1">
      <c r="A2" s="1581" t="s">
        <v>79</v>
      </c>
      <c r="B2" s="1582"/>
      <c r="C2" s="96" t="e">
        <f>CONCATENATE(cisloobjektu," ",nazevobjektu)</f>
        <v>#REF!</v>
      </c>
      <c r="D2" s="94"/>
      <c r="E2" s="95"/>
      <c r="F2" s="94"/>
      <c r="G2" s="1583" t="s">
        <v>1190</v>
      </c>
      <c r="H2" s="1584"/>
      <c r="I2" s="1585"/>
    </row>
    <row r="3" spans="1:9" ht="13.8" thickTop="1">
      <c r="A3" s="1"/>
      <c r="B3" s="1"/>
      <c r="C3" s="1"/>
      <c r="D3" s="1"/>
      <c r="E3" s="1"/>
      <c r="F3" s="74"/>
      <c r="G3" s="1"/>
      <c r="H3" s="1"/>
      <c r="I3" s="1"/>
    </row>
    <row r="4" spans="1:9" ht="19.5" customHeight="1">
      <c r="A4" s="93" t="s">
        <v>76</v>
      </c>
      <c r="B4" s="72"/>
      <c r="C4" s="72"/>
      <c r="D4" s="72"/>
      <c r="E4" s="92"/>
      <c r="F4" s="72"/>
      <c r="G4" s="72"/>
      <c r="H4" s="72"/>
      <c r="I4" s="72"/>
    </row>
    <row r="5" spans="1:9" ht="13.8" thickBot="1">
      <c r="A5" s="1"/>
      <c r="B5" s="1"/>
      <c r="C5" s="1"/>
      <c r="D5" s="1"/>
      <c r="E5" s="1"/>
      <c r="F5" s="1"/>
      <c r="G5" s="1"/>
      <c r="H5" s="1"/>
      <c r="I5" s="1"/>
    </row>
    <row r="6" spans="1:9" s="256" customFormat="1" ht="13.8" thickBot="1">
      <c r="A6" s="91"/>
      <c r="B6" s="90" t="s">
        <v>75</v>
      </c>
      <c r="C6" s="90"/>
      <c r="D6" s="89"/>
      <c r="E6" s="88" t="s">
        <v>74</v>
      </c>
      <c r="F6" s="87" t="s">
        <v>73</v>
      </c>
      <c r="G6" s="87" t="s">
        <v>72</v>
      </c>
      <c r="H6" s="87" t="s">
        <v>71</v>
      </c>
      <c r="I6" s="86" t="s">
        <v>70</v>
      </c>
    </row>
    <row r="7" spans="1:9" s="256" customFormat="1" ht="12.75">
      <c r="A7" s="85" t="str">
        <f>'[1]Položky'!B7</f>
        <v>1</v>
      </c>
      <c r="B7" s="35" t="str">
        <f>'[1]Položky'!C7</f>
        <v>Zemní práce</v>
      </c>
      <c r="C7" s="74"/>
      <c r="D7" s="84"/>
      <c r="E7" s="83">
        <v>0</v>
      </c>
      <c r="F7" s="82">
        <v>0</v>
      </c>
      <c r="G7" s="82">
        <v>0</v>
      </c>
      <c r="H7" s="82">
        <v>0</v>
      </c>
      <c r="I7" s="81">
        <v>0</v>
      </c>
    </row>
    <row r="8" spans="1:9" s="256" customFormat="1" ht="12.75">
      <c r="A8" s="85" t="str">
        <f>'[1]Položky'!B40</f>
        <v>11</v>
      </c>
      <c r="B8" s="35" t="str">
        <f>'[1]Položky'!C40</f>
        <v>Přípravné a přidružené práce</v>
      </c>
      <c r="C8" s="74"/>
      <c r="D8" s="84"/>
      <c r="E8" s="83">
        <v>0</v>
      </c>
      <c r="F8" s="82">
        <v>0</v>
      </c>
      <c r="G8" s="82">
        <v>0</v>
      </c>
      <c r="H8" s="82">
        <v>0</v>
      </c>
      <c r="I8" s="81">
        <v>0</v>
      </c>
    </row>
    <row r="9" spans="1:9" s="256" customFormat="1" ht="12.75">
      <c r="A9" s="85" t="str">
        <f>'[1]Položky'!B48</f>
        <v>2</v>
      </c>
      <c r="B9" s="35" t="str">
        <f>'[1]Položky'!C48</f>
        <v>Základy a zvláštní zakládání</v>
      </c>
      <c r="C9" s="74"/>
      <c r="D9" s="84"/>
      <c r="E9" s="83">
        <v>0</v>
      </c>
      <c r="F9" s="82">
        <v>0</v>
      </c>
      <c r="G9" s="82">
        <v>0</v>
      </c>
      <c r="H9" s="82">
        <v>0</v>
      </c>
      <c r="I9" s="81">
        <v>0</v>
      </c>
    </row>
    <row r="10" spans="1:9" s="256" customFormat="1" ht="12.75">
      <c r="A10" s="85" t="str">
        <f>'[1]Položky'!B73</f>
        <v>3</v>
      </c>
      <c r="B10" s="35" t="str">
        <f>'[1]Položky'!C73</f>
        <v>Svislé a kompletní konstrukce</v>
      </c>
      <c r="C10" s="74"/>
      <c r="D10" s="84"/>
      <c r="E10" s="83">
        <v>0</v>
      </c>
      <c r="F10" s="82">
        <v>0</v>
      </c>
      <c r="G10" s="82">
        <v>0</v>
      </c>
      <c r="H10" s="82">
        <v>0</v>
      </c>
      <c r="I10" s="81">
        <v>0</v>
      </c>
    </row>
    <row r="11" spans="1:9" s="256" customFormat="1" ht="12.75">
      <c r="A11" s="85" t="str">
        <f>'[1]Položky'!B114</f>
        <v>4</v>
      </c>
      <c r="B11" s="35" t="str">
        <f>'[1]Položky'!C114</f>
        <v>Vodorovné konstrukce</v>
      </c>
      <c r="C11" s="74"/>
      <c r="D11" s="84"/>
      <c r="E11" s="83">
        <v>0</v>
      </c>
      <c r="F11" s="82">
        <v>0</v>
      </c>
      <c r="G11" s="82">
        <v>0</v>
      </c>
      <c r="H11" s="82">
        <v>0</v>
      </c>
      <c r="I11" s="81">
        <v>0</v>
      </c>
    </row>
    <row r="12" spans="1:9" s="256" customFormat="1" ht="12.75">
      <c r="A12" s="85" t="str">
        <f>'[1]Položky'!B145</f>
        <v>5</v>
      </c>
      <c r="B12" s="35" t="str">
        <f>'[1]Položky'!C145</f>
        <v>Komunikace</v>
      </c>
      <c r="C12" s="74"/>
      <c r="D12" s="84"/>
      <c r="E12" s="83">
        <v>0</v>
      </c>
      <c r="F12" s="82">
        <v>0</v>
      </c>
      <c r="G12" s="82">
        <v>0</v>
      </c>
      <c r="H12" s="82">
        <v>0</v>
      </c>
      <c r="I12" s="81">
        <v>0</v>
      </c>
    </row>
    <row r="13" spans="1:9" s="256" customFormat="1" ht="12.75">
      <c r="A13" s="85" t="str">
        <f>'[1]Položky'!B179</f>
        <v>61</v>
      </c>
      <c r="B13" s="35" t="str">
        <f>'[1]Položky'!C179</f>
        <v>Upravy povrchů vnitřní</v>
      </c>
      <c r="C13" s="74"/>
      <c r="D13" s="84"/>
      <c r="E13" s="83">
        <v>0</v>
      </c>
      <c r="F13" s="82">
        <v>0</v>
      </c>
      <c r="G13" s="82">
        <v>0</v>
      </c>
      <c r="H13" s="82">
        <v>0</v>
      </c>
      <c r="I13" s="81">
        <v>0</v>
      </c>
    </row>
    <row r="14" spans="1:9" s="256" customFormat="1" ht="12.75">
      <c r="A14" s="85" t="str">
        <f>'[1]Položky'!B192</f>
        <v>62</v>
      </c>
      <c r="B14" s="35" t="str">
        <f>'[1]Položky'!C192</f>
        <v>Úpravy povrchů vnější</v>
      </c>
      <c r="C14" s="74"/>
      <c r="D14" s="84"/>
      <c r="E14" s="83">
        <v>0</v>
      </c>
      <c r="F14" s="82">
        <v>0</v>
      </c>
      <c r="G14" s="82">
        <v>0</v>
      </c>
      <c r="H14" s="82">
        <v>0</v>
      </c>
      <c r="I14" s="81">
        <v>0</v>
      </c>
    </row>
    <row r="15" spans="1:9" s="256" customFormat="1" ht="12.75">
      <c r="A15" s="85" t="str">
        <f>'[1]Položky'!B211</f>
        <v>63</v>
      </c>
      <c r="B15" s="35" t="str">
        <f>'[1]Položky'!C211</f>
        <v>Podlahy a podlahové konstrukce</v>
      </c>
      <c r="C15" s="74"/>
      <c r="D15" s="84"/>
      <c r="E15" s="83">
        <v>0</v>
      </c>
      <c r="F15" s="82">
        <v>0</v>
      </c>
      <c r="G15" s="82">
        <v>0</v>
      </c>
      <c r="H15" s="82">
        <v>0</v>
      </c>
      <c r="I15" s="81">
        <v>0</v>
      </c>
    </row>
    <row r="16" spans="1:9" s="256" customFormat="1" ht="12.75">
      <c r="A16" s="85" t="str">
        <f>'[1]Položky'!B227</f>
        <v>91</v>
      </c>
      <c r="B16" s="35" t="str">
        <f>'[1]Položky'!C227</f>
        <v>Doplňující práce na komunikaci</v>
      </c>
      <c r="C16" s="74"/>
      <c r="D16" s="84"/>
      <c r="E16" s="83">
        <v>0</v>
      </c>
      <c r="F16" s="82">
        <v>0</v>
      </c>
      <c r="G16" s="82">
        <v>0</v>
      </c>
      <c r="H16" s="82">
        <v>0</v>
      </c>
      <c r="I16" s="81">
        <v>0</v>
      </c>
    </row>
    <row r="17" spans="1:9" s="256" customFormat="1" ht="12.75">
      <c r="A17" s="85" t="str">
        <f>'[1]Položky'!B238</f>
        <v>99</v>
      </c>
      <c r="B17" s="35" t="str">
        <f>'[1]Položky'!C238</f>
        <v>Staveništní přesun hmot</v>
      </c>
      <c r="C17" s="74"/>
      <c r="D17" s="84"/>
      <c r="E17" s="83">
        <v>0</v>
      </c>
      <c r="F17" s="82">
        <v>0</v>
      </c>
      <c r="G17" s="82">
        <v>0</v>
      </c>
      <c r="H17" s="82">
        <v>0</v>
      </c>
      <c r="I17" s="81">
        <v>0</v>
      </c>
    </row>
    <row r="18" spans="1:9" s="256" customFormat="1" ht="12.75">
      <c r="A18" s="85" t="str">
        <f>'[1]Položky'!B241</f>
        <v>711</v>
      </c>
      <c r="B18" s="35" t="str">
        <f>'[1]Položky'!C241</f>
        <v>Izolace proti vodě</v>
      </c>
      <c r="C18" s="74"/>
      <c r="D18" s="84"/>
      <c r="E18" s="83">
        <v>0</v>
      </c>
      <c r="F18" s="82">
        <v>0</v>
      </c>
      <c r="G18" s="82">
        <v>0</v>
      </c>
      <c r="H18" s="82">
        <v>0</v>
      </c>
      <c r="I18" s="81">
        <v>0</v>
      </c>
    </row>
    <row r="19" spans="1:9" s="256" customFormat="1" ht="12.75">
      <c r="A19" s="85" t="str">
        <f>'[1]Položky'!B293</f>
        <v>713</v>
      </c>
      <c r="B19" s="35" t="str">
        <f>'[1]Položky'!C293</f>
        <v>Izolace tepelné</v>
      </c>
      <c r="C19" s="74"/>
      <c r="D19" s="84"/>
      <c r="E19" s="83">
        <v>0</v>
      </c>
      <c r="F19" s="82">
        <v>0</v>
      </c>
      <c r="G19" s="82">
        <v>0</v>
      </c>
      <c r="H19" s="82">
        <v>0</v>
      </c>
      <c r="I19" s="81">
        <v>0</v>
      </c>
    </row>
    <row r="20" spans="1:9" s="256" customFormat="1" ht="12.75">
      <c r="A20" s="85" t="str">
        <f>'[1]Položky'!B333</f>
        <v>762</v>
      </c>
      <c r="B20" s="35" t="str">
        <f>'[1]Položky'!C333</f>
        <v>Konstrukce tesařské</v>
      </c>
      <c r="C20" s="74"/>
      <c r="D20" s="84"/>
      <c r="E20" s="83">
        <v>0</v>
      </c>
      <c r="F20" s="82">
        <v>0</v>
      </c>
      <c r="G20" s="82">
        <v>0</v>
      </c>
      <c r="H20" s="82">
        <v>0</v>
      </c>
      <c r="I20" s="81">
        <v>0</v>
      </c>
    </row>
    <row r="21" spans="1:9" s="256" customFormat="1" ht="12.75">
      <c r="A21" s="85" t="str">
        <f>'[1]Položky'!B367</f>
        <v>764</v>
      </c>
      <c r="B21" s="35" t="str">
        <f>'[1]Položky'!C367</f>
        <v>Konstrukce klempířské</v>
      </c>
      <c r="C21" s="74"/>
      <c r="D21" s="84"/>
      <c r="E21" s="83">
        <v>0</v>
      </c>
      <c r="F21" s="82">
        <v>0</v>
      </c>
      <c r="G21" s="82">
        <v>0</v>
      </c>
      <c r="H21" s="82">
        <v>0</v>
      </c>
      <c r="I21" s="81">
        <v>0</v>
      </c>
    </row>
    <row r="22" spans="1:9" s="256" customFormat="1" ht="12.75">
      <c r="A22" s="85" t="str">
        <f>'[1]Položky'!B396</f>
        <v>765</v>
      </c>
      <c r="B22" s="35" t="str">
        <f>'[1]Položky'!C396</f>
        <v>Krytiny tvrdé</v>
      </c>
      <c r="C22" s="74"/>
      <c r="D22" s="84"/>
      <c r="E22" s="83">
        <v>0</v>
      </c>
      <c r="F22" s="82">
        <v>0</v>
      </c>
      <c r="G22" s="82">
        <v>0</v>
      </c>
      <c r="H22" s="82">
        <v>0</v>
      </c>
      <c r="I22" s="81">
        <v>0</v>
      </c>
    </row>
    <row r="23" spans="1:9" s="256" customFormat="1" ht="12.75">
      <c r="A23" s="85" t="str">
        <f>'[1]Položky'!B404</f>
        <v>766</v>
      </c>
      <c r="B23" s="35" t="str">
        <f>'[1]Položky'!C404</f>
        <v>Konstrukce truhlářské</v>
      </c>
      <c r="C23" s="74"/>
      <c r="D23" s="84"/>
      <c r="E23" s="83">
        <v>0</v>
      </c>
      <c r="F23" s="82">
        <v>0</v>
      </c>
      <c r="G23" s="82">
        <v>0</v>
      </c>
      <c r="H23" s="82">
        <v>0</v>
      </c>
      <c r="I23" s="81">
        <v>0</v>
      </c>
    </row>
    <row r="24" spans="1:9" s="256" customFormat="1" ht="12.75">
      <c r="A24" s="85" t="str">
        <f>'[1]Položky'!B439</f>
        <v>767</v>
      </c>
      <c r="B24" s="35" t="str">
        <f>'[1]Položky'!C439</f>
        <v>Konstrukce zámečnické</v>
      </c>
      <c r="C24" s="74"/>
      <c r="D24" s="84"/>
      <c r="E24" s="83">
        <v>0</v>
      </c>
      <c r="F24" s="82">
        <v>0</v>
      </c>
      <c r="G24" s="82">
        <v>0</v>
      </c>
      <c r="H24" s="82">
        <v>0</v>
      </c>
      <c r="I24" s="81">
        <v>0</v>
      </c>
    </row>
    <row r="25" spans="1:9" s="256" customFormat="1" ht="12.75">
      <c r="A25" s="85" t="str">
        <f>'[1]Položky'!B443</f>
        <v>769</v>
      </c>
      <c r="B25" s="35" t="str">
        <f>'[1]Položky'!C443</f>
        <v>Otvorové prvky z plastu</v>
      </c>
      <c r="C25" s="74"/>
      <c r="D25" s="84"/>
      <c r="E25" s="83">
        <v>0</v>
      </c>
      <c r="F25" s="82">
        <v>0</v>
      </c>
      <c r="G25" s="82">
        <v>0</v>
      </c>
      <c r="H25" s="82">
        <v>0</v>
      </c>
      <c r="I25" s="81">
        <v>0</v>
      </c>
    </row>
    <row r="26" spans="1:9" s="256" customFormat="1" ht="12.75">
      <c r="A26" s="85" t="str">
        <f>'[1]Položky'!B477</f>
        <v>771</v>
      </c>
      <c r="B26" s="35" t="str">
        <f>'[1]Položky'!C477</f>
        <v>Podlahy z dlaždic a obklady</v>
      </c>
      <c r="C26" s="74"/>
      <c r="D26" s="84"/>
      <c r="E26" s="83">
        <v>0</v>
      </c>
      <c r="F26" s="82">
        <v>0</v>
      </c>
      <c r="G26" s="82">
        <v>0</v>
      </c>
      <c r="H26" s="82">
        <v>0</v>
      </c>
      <c r="I26" s="81">
        <v>0</v>
      </c>
    </row>
    <row r="27" spans="1:9" s="256" customFormat="1" ht="12.75">
      <c r="A27" s="85" t="str">
        <f>'[1]Položky'!B508</f>
        <v>781</v>
      </c>
      <c r="B27" s="35" t="str">
        <f>'[1]Položky'!C508</f>
        <v>Obklady keramické</v>
      </c>
      <c r="C27" s="74"/>
      <c r="D27" s="84"/>
      <c r="E27" s="83">
        <v>0</v>
      </c>
      <c r="F27" s="82">
        <v>0</v>
      </c>
      <c r="G27" s="82">
        <v>0</v>
      </c>
      <c r="H27" s="82">
        <v>0</v>
      </c>
      <c r="I27" s="81">
        <v>0</v>
      </c>
    </row>
    <row r="28" spans="1:9" s="256" customFormat="1" ht="12.75">
      <c r="A28" s="85" t="str">
        <f>'[1]Položky'!B530</f>
        <v>784</v>
      </c>
      <c r="B28" s="35" t="str">
        <f>'[1]Položky'!C530</f>
        <v>Malby</v>
      </c>
      <c r="C28" s="74"/>
      <c r="D28" s="84"/>
      <c r="E28" s="83">
        <v>0</v>
      </c>
      <c r="F28" s="82">
        <v>0</v>
      </c>
      <c r="G28" s="82">
        <v>0</v>
      </c>
      <c r="H28" s="82">
        <v>0</v>
      </c>
      <c r="I28" s="81">
        <v>0</v>
      </c>
    </row>
    <row r="29" spans="1:9" s="256" customFormat="1" ht="13.8" thickBot="1">
      <c r="A29" s="85" t="str">
        <f>'[1]Položky'!B556</f>
        <v>D96</v>
      </c>
      <c r="B29" s="35" t="str">
        <f>'[1]Položky'!C556</f>
        <v>Přesuny suti a vybouraných hmot</v>
      </c>
      <c r="C29" s="74"/>
      <c r="D29" s="84"/>
      <c r="E29" s="83">
        <v>0</v>
      </c>
      <c r="F29" s="82">
        <v>0</v>
      </c>
      <c r="G29" s="82">
        <v>0</v>
      </c>
      <c r="H29" s="82">
        <v>0</v>
      </c>
      <c r="I29" s="81">
        <v>0</v>
      </c>
    </row>
    <row r="30" spans="1:9" s="262" customFormat="1" ht="13.8" thickBot="1">
      <c r="A30" s="80"/>
      <c r="B30" s="79" t="s">
        <v>69</v>
      </c>
      <c r="C30" s="79"/>
      <c r="D30" s="78"/>
      <c r="E30" s="77">
        <f>SUM(E7:E29)</f>
        <v>0</v>
      </c>
      <c r="F30" s="76">
        <f>SUM(F7:F29)</f>
        <v>0</v>
      </c>
      <c r="G30" s="76">
        <f>SUM(G7:G29)</f>
        <v>0</v>
      </c>
      <c r="H30" s="76">
        <f>SUM(H7:H29)</f>
        <v>0</v>
      </c>
      <c r="I30" s="75">
        <f>SUM(I7:I29)</f>
        <v>0</v>
      </c>
    </row>
    <row r="31" spans="1:9" ht="12.75">
      <c r="A31" s="74"/>
      <c r="B31" s="74"/>
      <c r="C31" s="74"/>
      <c r="D31" s="74"/>
      <c r="E31" s="74"/>
      <c r="F31" s="74"/>
      <c r="G31" s="74"/>
      <c r="H31" s="74"/>
      <c r="I31" s="74"/>
    </row>
    <row r="32" spans="1:57" ht="19.5" customHeight="1">
      <c r="A32" s="72" t="s">
        <v>68</v>
      </c>
      <c r="B32" s="72"/>
      <c r="C32" s="72"/>
      <c r="D32" s="72"/>
      <c r="E32" s="72"/>
      <c r="F32" s="72"/>
      <c r="G32" s="73"/>
      <c r="H32" s="72"/>
      <c r="I32" s="72"/>
      <c r="BA32" s="258"/>
      <c r="BB32" s="258"/>
      <c r="BC32" s="258"/>
      <c r="BD32" s="258"/>
      <c r="BE32" s="258"/>
    </row>
    <row r="33" spans="1:9" ht="13.8" thickBo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71" t="s">
        <v>67</v>
      </c>
      <c r="B34" s="70"/>
      <c r="C34" s="70"/>
      <c r="D34" s="69"/>
      <c r="E34" s="68" t="s">
        <v>65</v>
      </c>
      <c r="F34" s="67" t="s">
        <v>9</v>
      </c>
      <c r="G34" s="66" t="s">
        <v>66</v>
      </c>
      <c r="H34" s="65"/>
      <c r="I34" s="64" t="s">
        <v>65</v>
      </c>
    </row>
    <row r="35" spans="1:53" ht="12.75">
      <c r="A35" s="63" t="s">
        <v>64</v>
      </c>
      <c r="B35" s="62"/>
      <c r="C35" s="62"/>
      <c r="D35" s="61"/>
      <c r="E35" s="60">
        <v>0</v>
      </c>
      <c r="F35" s="59">
        <v>0</v>
      </c>
      <c r="G35" s="58">
        <f aca="true" t="shared" si="0" ref="G35:G42">CHOOSE(BA35+1,HSV+PSV,HSV+PSV+Mont,HSV+PSV+Dodavka+Mont,HSV,PSV,Mont,Dodavka,Mont+Dodavka,0)</f>
        <v>0</v>
      </c>
      <c r="H35" s="57"/>
      <c r="I35" s="56">
        <f aca="true" t="shared" si="1" ref="I35:I42">E35+F35*G35/100</f>
        <v>0</v>
      </c>
      <c r="BA35">
        <v>0</v>
      </c>
    </row>
    <row r="36" spans="1:53" ht="12.75">
      <c r="A36" s="63" t="s">
        <v>63</v>
      </c>
      <c r="B36" s="62"/>
      <c r="C36" s="62"/>
      <c r="D36" s="61"/>
      <c r="E36" s="60">
        <v>0</v>
      </c>
      <c r="F36" s="59">
        <v>0</v>
      </c>
      <c r="G36" s="58">
        <f t="shared" si="0"/>
        <v>0</v>
      </c>
      <c r="H36" s="57"/>
      <c r="I36" s="56">
        <f t="shared" si="1"/>
        <v>0</v>
      </c>
      <c r="BA36">
        <v>0</v>
      </c>
    </row>
    <row r="37" spans="1:53" ht="12.75">
      <c r="A37" s="63" t="s">
        <v>62</v>
      </c>
      <c r="B37" s="62"/>
      <c r="C37" s="62"/>
      <c r="D37" s="61"/>
      <c r="E37" s="60">
        <v>0</v>
      </c>
      <c r="F37" s="59">
        <v>0</v>
      </c>
      <c r="G37" s="58">
        <f t="shared" si="0"/>
        <v>0</v>
      </c>
      <c r="H37" s="57"/>
      <c r="I37" s="56">
        <f t="shared" si="1"/>
        <v>0</v>
      </c>
      <c r="BA37">
        <v>0</v>
      </c>
    </row>
    <row r="38" spans="1:53" ht="12.75">
      <c r="A38" s="63" t="s">
        <v>61</v>
      </c>
      <c r="B38" s="62"/>
      <c r="C38" s="62"/>
      <c r="D38" s="61"/>
      <c r="E38" s="60">
        <v>0</v>
      </c>
      <c r="F38" s="59">
        <v>0</v>
      </c>
      <c r="G38" s="58">
        <f t="shared" si="0"/>
        <v>0</v>
      </c>
      <c r="H38" s="57"/>
      <c r="I38" s="56">
        <f t="shared" si="1"/>
        <v>0</v>
      </c>
      <c r="BA38">
        <v>0</v>
      </c>
    </row>
    <row r="39" spans="1:53" ht="12.75">
      <c r="A39" s="63" t="s">
        <v>60</v>
      </c>
      <c r="B39" s="62"/>
      <c r="C39" s="62"/>
      <c r="D39" s="61"/>
      <c r="E39" s="60">
        <v>0</v>
      </c>
      <c r="F39" s="59">
        <v>3</v>
      </c>
      <c r="G39" s="58">
        <f t="shared" si="0"/>
        <v>0</v>
      </c>
      <c r="H39" s="57"/>
      <c r="I39" s="56">
        <f t="shared" si="1"/>
        <v>0</v>
      </c>
      <c r="BA39">
        <v>1</v>
      </c>
    </row>
    <row r="40" spans="1:53" ht="12.75">
      <c r="A40" s="63" t="s">
        <v>59</v>
      </c>
      <c r="B40" s="62"/>
      <c r="C40" s="62"/>
      <c r="D40" s="61"/>
      <c r="E40" s="60">
        <v>0</v>
      </c>
      <c r="F40" s="59">
        <v>0</v>
      </c>
      <c r="G40" s="58">
        <f t="shared" si="0"/>
        <v>0</v>
      </c>
      <c r="H40" s="57"/>
      <c r="I40" s="56">
        <f t="shared" si="1"/>
        <v>0</v>
      </c>
      <c r="BA40">
        <v>1</v>
      </c>
    </row>
    <row r="41" spans="1:53" ht="12.75">
      <c r="A41" s="63" t="s">
        <v>58</v>
      </c>
      <c r="B41" s="62"/>
      <c r="C41" s="62"/>
      <c r="D41" s="61"/>
      <c r="E41" s="60">
        <v>0</v>
      </c>
      <c r="F41" s="59">
        <v>1.2</v>
      </c>
      <c r="G41" s="58">
        <f t="shared" si="0"/>
        <v>0</v>
      </c>
      <c r="H41" s="57"/>
      <c r="I41" s="56">
        <f t="shared" si="1"/>
        <v>0</v>
      </c>
      <c r="BA41">
        <v>2</v>
      </c>
    </row>
    <row r="42" spans="1:53" ht="12.75">
      <c r="A42" s="63" t="s">
        <v>41</v>
      </c>
      <c r="B42" s="62"/>
      <c r="C42" s="62"/>
      <c r="D42" s="61"/>
      <c r="E42" s="60">
        <v>0</v>
      </c>
      <c r="F42" s="59">
        <v>0</v>
      </c>
      <c r="G42" s="58">
        <f t="shared" si="0"/>
        <v>0</v>
      </c>
      <c r="H42" s="57"/>
      <c r="I42" s="56">
        <f t="shared" si="1"/>
        <v>0</v>
      </c>
      <c r="BA42">
        <v>2</v>
      </c>
    </row>
    <row r="43" spans="1:9" ht="13.8" thickBot="1">
      <c r="A43" s="55"/>
      <c r="B43" s="54" t="s">
        <v>57</v>
      </c>
      <c r="C43" s="53"/>
      <c r="D43" s="52"/>
      <c r="E43" s="51"/>
      <c r="F43" s="50"/>
      <c r="G43" s="50"/>
      <c r="H43" s="1586">
        <f>SUM(I35:I42)</f>
        <v>0</v>
      </c>
      <c r="I43" s="1587"/>
    </row>
    <row r="45" spans="2:9" ht="12.75">
      <c r="B45" s="262"/>
      <c r="F45" s="263"/>
      <c r="G45" s="264"/>
      <c r="H45" s="264"/>
      <c r="I45" s="265"/>
    </row>
    <row r="46" spans="6:9" ht="12.75">
      <c r="F46" s="263"/>
      <c r="G46" s="264"/>
      <c r="H46" s="264"/>
      <c r="I46" s="265"/>
    </row>
    <row r="47" spans="6:9" ht="12.75">
      <c r="F47" s="263"/>
      <c r="G47" s="264"/>
      <c r="H47" s="264"/>
      <c r="I47" s="265"/>
    </row>
    <row r="48" spans="6:9" ht="12.75">
      <c r="F48" s="263"/>
      <c r="G48" s="264"/>
      <c r="H48" s="264"/>
      <c r="I48" s="265"/>
    </row>
    <row r="49" spans="6:9" ht="12.75">
      <c r="F49" s="263"/>
      <c r="G49" s="264"/>
      <c r="H49" s="264"/>
      <c r="I49" s="265"/>
    </row>
    <row r="50" spans="6:9" ht="12.75">
      <c r="F50" s="263"/>
      <c r="G50" s="264"/>
      <c r="H50" s="264"/>
      <c r="I50" s="265"/>
    </row>
    <row r="51" spans="6:9" ht="12.75">
      <c r="F51" s="263"/>
      <c r="G51" s="264"/>
      <c r="H51" s="264"/>
      <c r="I51" s="265"/>
    </row>
    <row r="52" spans="6:9" ht="12.75">
      <c r="F52" s="263"/>
      <c r="G52" s="264"/>
      <c r="H52" s="264"/>
      <c r="I52" s="265"/>
    </row>
    <row r="53" spans="6:9" ht="12.75">
      <c r="F53" s="263"/>
      <c r="G53" s="264"/>
      <c r="H53" s="264"/>
      <c r="I53" s="265"/>
    </row>
    <row r="54" spans="6:9" ht="12.75">
      <c r="F54" s="263"/>
      <c r="G54" s="264"/>
      <c r="H54" s="264"/>
      <c r="I54" s="265"/>
    </row>
    <row r="55" spans="6:9" ht="12.75">
      <c r="F55" s="263"/>
      <c r="G55" s="264"/>
      <c r="H55" s="264"/>
      <c r="I55" s="265"/>
    </row>
    <row r="56" spans="6:9" ht="12.75">
      <c r="F56" s="263"/>
      <c r="G56" s="264"/>
      <c r="H56" s="264"/>
      <c r="I56" s="265"/>
    </row>
    <row r="57" spans="6:9" ht="12.75">
      <c r="F57" s="263"/>
      <c r="G57" s="264"/>
      <c r="H57" s="264"/>
      <c r="I57" s="265"/>
    </row>
    <row r="58" spans="6:9" ht="12.75">
      <c r="F58" s="263"/>
      <c r="G58" s="264"/>
      <c r="H58" s="264"/>
      <c r="I58" s="265"/>
    </row>
    <row r="59" spans="6:9" ht="12.75">
      <c r="F59" s="263"/>
      <c r="G59" s="264"/>
      <c r="H59" s="264"/>
      <c r="I59" s="265"/>
    </row>
    <row r="60" spans="6:9" ht="12.75">
      <c r="F60" s="263"/>
      <c r="G60" s="264"/>
      <c r="H60" s="264"/>
      <c r="I60" s="265"/>
    </row>
    <row r="61" spans="6:9" ht="12.75">
      <c r="F61" s="263"/>
      <c r="G61" s="264"/>
      <c r="H61" s="264"/>
      <c r="I61" s="265"/>
    </row>
    <row r="62" spans="6:9" ht="12.75">
      <c r="F62" s="263"/>
      <c r="G62" s="264"/>
      <c r="H62" s="264"/>
      <c r="I62" s="265"/>
    </row>
    <row r="63" spans="6:9" ht="12.75">
      <c r="F63" s="263"/>
      <c r="G63" s="264"/>
      <c r="H63" s="264"/>
      <c r="I63" s="265"/>
    </row>
    <row r="64" spans="6:9" ht="12.75">
      <c r="F64" s="263"/>
      <c r="G64" s="264"/>
      <c r="H64" s="264"/>
      <c r="I64" s="265"/>
    </row>
    <row r="65" spans="6:9" ht="12.75">
      <c r="F65" s="263"/>
      <c r="G65" s="264"/>
      <c r="H65" s="264"/>
      <c r="I65" s="265"/>
    </row>
    <row r="66" spans="6:9" ht="12.75">
      <c r="F66" s="263"/>
      <c r="G66" s="264"/>
      <c r="H66" s="264"/>
      <c r="I66" s="265"/>
    </row>
    <row r="67" spans="6:9" ht="12.75">
      <c r="F67" s="263"/>
      <c r="G67" s="264"/>
      <c r="H67" s="264"/>
      <c r="I67" s="265"/>
    </row>
    <row r="68" spans="6:9" ht="12.75">
      <c r="F68" s="263"/>
      <c r="G68" s="264"/>
      <c r="H68" s="264"/>
      <c r="I68" s="265"/>
    </row>
    <row r="69" spans="6:9" ht="12.75">
      <c r="F69" s="263"/>
      <c r="G69" s="264"/>
      <c r="H69" s="264"/>
      <c r="I69" s="265"/>
    </row>
    <row r="70" spans="6:9" ht="12.75">
      <c r="F70" s="263"/>
      <c r="G70" s="264"/>
      <c r="H70" s="264"/>
      <c r="I70" s="265"/>
    </row>
    <row r="71" spans="6:9" ht="12.75">
      <c r="F71" s="263"/>
      <c r="G71" s="264"/>
      <c r="H71" s="264"/>
      <c r="I71" s="265"/>
    </row>
    <row r="72" spans="6:9" ht="12.75">
      <c r="F72" s="263"/>
      <c r="G72" s="264"/>
      <c r="H72" s="264"/>
      <c r="I72" s="265"/>
    </row>
    <row r="73" spans="6:9" ht="12.75">
      <c r="F73" s="263"/>
      <c r="G73" s="264"/>
      <c r="H73" s="264"/>
      <c r="I73" s="265"/>
    </row>
    <row r="74" spans="6:9" ht="12.75">
      <c r="F74" s="263"/>
      <c r="G74" s="264"/>
      <c r="H74" s="264"/>
      <c r="I74" s="265"/>
    </row>
    <row r="75" spans="6:9" ht="12.75">
      <c r="F75" s="263"/>
      <c r="G75" s="264"/>
      <c r="H75" s="264"/>
      <c r="I75" s="265"/>
    </row>
    <row r="76" spans="6:9" ht="12.75">
      <c r="F76" s="263"/>
      <c r="G76" s="264"/>
      <c r="H76" s="264"/>
      <c r="I76" s="265"/>
    </row>
    <row r="77" spans="6:9" ht="12.75">
      <c r="F77" s="263"/>
      <c r="G77" s="264"/>
      <c r="H77" s="264"/>
      <c r="I77" s="265"/>
    </row>
    <row r="78" spans="6:9" ht="12.75">
      <c r="F78" s="263"/>
      <c r="G78" s="264"/>
      <c r="H78" s="264"/>
      <c r="I78" s="265"/>
    </row>
    <row r="79" spans="6:9" ht="12.75">
      <c r="F79" s="263"/>
      <c r="G79" s="264"/>
      <c r="H79" s="264"/>
      <c r="I79" s="265"/>
    </row>
    <row r="80" spans="6:9" ht="12.75">
      <c r="F80" s="263"/>
      <c r="G80" s="264"/>
      <c r="H80" s="264"/>
      <c r="I80" s="265"/>
    </row>
    <row r="81" spans="6:9" ht="12.75">
      <c r="F81" s="263"/>
      <c r="G81" s="264"/>
      <c r="H81" s="264"/>
      <c r="I81" s="265"/>
    </row>
    <row r="82" spans="6:9" ht="12.75">
      <c r="F82" s="263"/>
      <c r="G82" s="264"/>
      <c r="H82" s="264"/>
      <c r="I82" s="265"/>
    </row>
    <row r="83" spans="6:9" ht="12.75">
      <c r="F83" s="263"/>
      <c r="G83" s="264"/>
      <c r="H83" s="264"/>
      <c r="I83" s="265"/>
    </row>
    <row r="84" spans="6:9" ht="12.75">
      <c r="F84" s="263"/>
      <c r="G84" s="264"/>
      <c r="H84" s="264"/>
      <c r="I84" s="265"/>
    </row>
    <row r="85" spans="6:9" ht="12.75">
      <c r="F85" s="263"/>
      <c r="G85" s="264"/>
      <c r="H85" s="264"/>
      <c r="I85" s="265"/>
    </row>
    <row r="86" spans="6:9" ht="12.75">
      <c r="F86" s="263"/>
      <c r="G86" s="264"/>
      <c r="H86" s="264"/>
      <c r="I86" s="265"/>
    </row>
    <row r="87" spans="6:9" ht="12.75">
      <c r="F87" s="263"/>
      <c r="G87" s="264"/>
      <c r="H87" s="264"/>
      <c r="I87" s="265"/>
    </row>
    <row r="88" spans="6:9" ht="12.75">
      <c r="F88" s="263"/>
      <c r="G88" s="264"/>
      <c r="H88" s="264"/>
      <c r="I88" s="265"/>
    </row>
    <row r="89" spans="6:9" ht="12.75">
      <c r="F89" s="263"/>
      <c r="G89" s="264"/>
      <c r="H89" s="264"/>
      <c r="I89" s="265"/>
    </row>
    <row r="90" spans="6:9" ht="12.75">
      <c r="F90" s="263"/>
      <c r="G90" s="264"/>
      <c r="H90" s="264"/>
      <c r="I90" s="265"/>
    </row>
    <row r="91" spans="6:9" ht="12.75">
      <c r="F91" s="263"/>
      <c r="G91" s="264"/>
      <c r="H91" s="264"/>
      <c r="I91" s="265"/>
    </row>
    <row r="92" spans="6:9" ht="12.75">
      <c r="F92" s="263"/>
      <c r="G92" s="264"/>
      <c r="H92" s="264"/>
      <c r="I92" s="265"/>
    </row>
    <row r="93" spans="6:9" ht="12.75">
      <c r="F93" s="263"/>
      <c r="G93" s="264"/>
      <c r="H93" s="264"/>
      <c r="I93" s="265"/>
    </row>
    <row r="94" spans="6:9" ht="12.75">
      <c r="F94" s="263"/>
      <c r="G94" s="264"/>
      <c r="H94" s="264"/>
      <c r="I94" s="265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Z635"/>
  <sheetViews>
    <sheetView showGridLines="0" showZeros="0" workbookViewId="0" topLeftCell="A331">
      <selection activeCell="E528" sqref="E528"/>
    </sheetView>
  </sheetViews>
  <sheetFormatPr defaultColWidth="9.125" defaultRowHeight="12.75"/>
  <cols>
    <col min="1" max="1" width="4.50390625" style="266" customWidth="1"/>
    <col min="2" max="2" width="11.50390625" style="266" customWidth="1"/>
    <col min="3" max="3" width="40.50390625" style="266" customWidth="1"/>
    <col min="4" max="4" width="5.50390625" style="266" customWidth="1"/>
    <col min="5" max="5" width="8.50390625" style="272" customWidth="1"/>
    <col min="6" max="6" width="9.875" style="266" customWidth="1"/>
    <col min="7" max="7" width="13.875" style="266" customWidth="1"/>
    <col min="8" max="11" width="9.125" style="266" customWidth="1"/>
    <col min="12" max="12" width="75.50390625" style="266" customWidth="1"/>
    <col min="13" max="13" width="45.375" style="266" customWidth="1"/>
    <col min="14" max="16384" width="9.125" style="266" customWidth="1"/>
  </cols>
  <sheetData>
    <row r="1" spans="1:7" ht="15.6">
      <c r="A1" s="1590" t="s">
        <v>127</v>
      </c>
      <c r="B1" s="1590"/>
      <c r="C1" s="1590"/>
      <c r="D1" s="1590"/>
      <c r="E1" s="1590"/>
      <c r="F1" s="1590"/>
      <c r="G1" s="1590"/>
    </row>
    <row r="2" spans="1:7" ht="14.25" customHeight="1" thickBot="1">
      <c r="A2" s="190"/>
      <c r="B2" s="191"/>
      <c r="C2" s="192"/>
      <c r="D2" s="192"/>
      <c r="E2" s="193"/>
      <c r="F2" s="192"/>
      <c r="G2" s="192"/>
    </row>
    <row r="3" spans="1:7" ht="13.8" thickTop="1">
      <c r="A3" s="1579" t="s">
        <v>2</v>
      </c>
      <c r="B3" s="1580"/>
      <c r="C3" s="102" t="str">
        <f>CONCATENATE(SSSS," ",nazevstavby)</f>
        <v>2013/88 Lednice zahrady</v>
      </c>
      <c r="D3" s="194"/>
      <c r="E3" s="195" t="s">
        <v>128</v>
      </c>
      <c r="F3" s="196">
        <f>'[1]Rekapitulace'!H1</f>
        <v>0</v>
      </c>
      <c r="G3" s="197"/>
    </row>
    <row r="4" spans="1:7" ht="13.8" thickBot="1">
      <c r="A4" s="1591" t="s">
        <v>79</v>
      </c>
      <c r="B4" s="1582"/>
      <c r="C4" s="96" t="str">
        <f>CONCATENATE(LLLL," ",FFFF)</f>
        <v>04 Infokiosek</v>
      </c>
      <c r="D4" s="198"/>
      <c r="E4" s="1592" t="str">
        <f>'[1]Rekapitulace'!G2</f>
        <v>aktualizovaný říjen 2014 -odpočty+přípočty</v>
      </c>
      <c r="F4" s="1593"/>
      <c r="G4" s="1594"/>
    </row>
    <row r="5" spans="1:7" ht="13.8" thickTop="1">
      <c r="A5" s="199"/>
      <c r="B5" s="190"/>
      <c r="C5" s="190"/>
      <c r="D5" s="190"/>
      <c r="E5" s="200"/>
      <c r="F5" s="190"/>
      <c r="G5" s="201"/>
    </row>
    <row r="6" spans="1:7" ht="12.75">
      <c r="A6" s="202" t="s">
        <v>129</v>
      </c>
      <c r="B6" s="203" t="s">
        <v>130</v>
      </c>
      <c r="C6" s="203" t="s">
        <v>131</v>
      </c>
      <c r="D6" s="203" t="s">
        <v>132</v>
      </c>
      <c r="E6" s="204" t="s">
        <v>133</v>
      </c>
      <c r="F6" s="203" t="s">
        <v>134</v>
      </c>
      <c r="G6" s="205" t="s">
        <v>135</v>
      </c>
    </row>
    <row r="7" spans="1:15" ht="12.75">
      <c r="A7" s="207" t="s">
        <v>140</v>
      </c>
      <c r="B7" s="208" t="s">
        <v>141</v>
      </c>
      <c r="C7" s="209" t="s">
        <v>142</v>
      </c>
      <c r="D7" s="210"/>
      <c r="E7" s="211"/>
      <c r="F7" s="211"/>
      <c r="G7" s="212"/>
      <c r="H7" s="267"/>
      <c r="I7" s="267"/>
      <c r="O7" s="268">
        <v>1</v>
      </c>
    </row>
    <row r="8" spans="1:104" ht="12.75">
      <c r="A8" s="218">
        <v>1</v>
      </c>
      <c r="B8" s="219" t="s">
        <v>1191</v>
      </c>
      <c r="C8" s="220" t="s">
        <v>1192</v>
      </c>
      <c r="D8" s="221" t="s">
        <v>145</v>
      </c>
      <c r="E8" s="222">
        <v>18.62</v>
      </c>
      <c r="F8" s="222">
        <v>0</v>
      </c>
      <c r="G8" s="223">
        <f>E8*F8</f>
        <v>0</v>
      </c>
      <c r="O8" s="268">
        <v>2</v>
      </c>
      <c r="AA8" s="266">
        <v>1</v>
      </c>
      <c r="AB8" s="266">
        <v>1</v>
      </c>
      <c r="AC8" s="266">
        <v>1</v>
      </c>
      <c r="AZ8" s="266">
        <v>1</v>
      </c>
      <c r="BA8" s="266">
        <f>IF(AZ8=1,G8,0)</f>
        <v>0</v>
      </c>
      <c r="BB8" s="266">
        <f>IF(AZ8=2,G8,0)</f>
        <v>0</v>
      </c>
      <c r="BC8" s="266">
        <f>IF(AZ8=3,G8,0)</f>
        <v>0</v>
      </c>
      <c r="BD8" s="266">
        <f>IF(AZ8=4,G8,0)</f>
        <v>0</v>
      </c>
      <c r="BE8" s="266">
        <f>IF(AZ8=5,G8,0)</f>
        <v>0</v>
      </c>
      <c r="CA8" s="268">
        <v>1</v>
      </c>
      <c r="CB8" s="268">
        <v>1</v>
      </c>
      <c r="CZ8" s="266">
        <v>0</v>
      </c>
    </row>
    <row r="9" spans="1:15" ht="12.75">
      <c r="A9" s="226"/>
      <c r="B9" s="227"/>
      <c r="C9" s="1588" t="s">
        <v>1193</v>
      </c>
      <c r="D9" s="1589"/>
      <c r="E9" s="228">
        <v>18.62</v>
      </c>
      <c r="F9" s="229"/>
      <c r="G9" s="230"/>
      <c r="M9" s="234" t="s">
        <v>1193</v>
      </c>
      <c r="O9" s="268"/>
    </row>
    <row r="10" spans="1:104" ht="12.75">
      <c r="A10" s="218">
        <v>2</v>
      </c>
      <c r="B10" s="219" t="s">
        <v>483</v>
      </c>
      <c r="C10" s="220" t="s">
        <v>484</v>
      </c>
      <c r="D10" s="221" t="s">
        <v>154</v>
      </c>
      <c r="E10" s="222">
        <v>1.374</v>
      </c>
      <c r="F10" s="222">
        <v>0</v>
      </c>
      <c r="G10" s="223">
        <f>E10*F10</f>
        <v>0</v>
      </c>
      <c r="O10" s="268">
        <v>2</v>
      </c>
      <c r="AA10" s="266">
        <v>1</v>
      </c>
      <c r="AB10" s="266">
        <v>1</v>
      </c>
      <c r="AC10" s="266">
        <v>1</v>
      </c>
      <c r="AZ10" s="266">
        <v>1</v>
      </c>
      <c r="BA10" s="266">
        <f>IF(AZ10=1,G10,0)</f>
        <v>0</v>
      </c>
      <c r="BB10" s="266">
        <f>IF(AZ10=2,G10,0)</f>
        <v>0</v>
      </c>
      <c r="BC10" s="266">
        <f>IF(AZ10=3,G10,0)</f>
        <v>0</v>
      </c>
      <c r="BD10" s="266">
        <f>IF(AZ10=4,G10,0)</f>
        <v>0</v>
      </c>
      <c r="BE10" s="266">
        <f>IF(AZ10=5,G10,0)</f>
        <v>0</v>
      </c>
      <c r="CA10" s="268">
        <v>1</v>
      </c>
      <c r="CB10" s="268">
        <v>1</v>
      </c>
      <c r="CZ10" s="266">
        <v>0</v>
      </c>
    </row>
    <row r="11" spans="1:15" ht="12.75">
      <c r="A11" s="226"/>
      <c r="B11" s="227"/>
      <c r="C11" s="1588" t="s">
        <v>1194</v>
      </c>
      <c r="D11" s="1589"/>
      <c r="E11" s="228">
        <v>26.334</v>
      </c>
      <c r="F11" s="229"/>
      <c r="G11" s="230"/>
      <c r="M11" s="234" t="s">
        <v>1194</v>
      </c>
      <c r="O11" s="268"/>
    </row>
    <row r="12" spans="1:15" ht="12.75">
      <c r="A12" s="226"/>
      <c r="B12" s="227"/>
      <c r="C12" s="1588" t="s">
        <v>1195</v>
      </c>
      <c r="D12" s="1589"/>
      <c r="E12" s="228">
        <v>-24.96</v>
      </c>
      <c r="F12" s="229"/>
      <c r="G12" s="230"/>
      <c r="M12" s="234" t="s">
        <v>1195</v>
      </c>
      <c r="O12" s="268"/>
    </row>
    <row r="13" spans="1:104" ht="12.75">
      <c r="A13" s="218">
        <v>3</v>
      </c>
      <c r="B13" s="219" t="s">
        <v>156</v>
      </c>
      <c r="C13" s="220" t="s">
        <v>157</v>
      </c>
      <c r="D13" s="221" t="s">
        <v>154</v>
      </c>
      <c r="E13" s="222">
        <v>-0.67</v>
      </c>
      <c r="F13" s="222">
        <v>0</v>
      </c>
      <c r="G13" s="223">
        <f>E13*F13</f>
        <v>0</v>
      </c>
      <c r="O13" s="268">
        <v>2</v>
      </c>
      <c r="AA13" s="266">
        <v>1</v>
      </c>
      <c r="AB13" s="266">
        <v>0</v>
      </c>
      <c r="AC13" s="266">
        <v>0</v>
      </c>
      <c r="AZ13" s="266">
        <v>1</v>
      </c>
      <c r="BA13" s="266">
        <f>IF(AZ13=1,G13,0)</f>
        <v>0</v>
      </c>
      <c r="BB13" s="266">
        <f>IF(AZ13=2,G13,0)</f>
        <v>0</v>
      </c>
      <c r="BC13" s="266">
        <f>IF(AZ13=3,G13,0)</f>
        <v>0</v>
      </c>
      <c r="BD13" s="266">
        <f>IF(AZ13=4,G13,0)</f>
        <v>0</v>
      </c>
      <c r="BE13" s="266">
        <f>IF(AZ13=5,G13,0)</f>
        <v>0</v>
      </c>
      <c r="CA13" s="268">
        <v>1</v>
      </c>
      <c r="CB13" s="268">
        <v>0</v>
      </c>
      <c r="CZ13" s="266">
        <v>0</v>
      </c>
    </row>
    <row r="14" spans="1:15" ht="12.75">
      <c r="A14" s="226"/>
      <c r="B14" s="235"/>
      <c r="C14" s="1595"/>
      <c r="D14" s="1596"/>
      <c r="E14" s="1596"/>
      <c r="F14" s="1596"/>
      <c r="G14" s="1597"/>
      <c r="L14" s="234"/>
      <c r="O14" s="268">
        <v>3</v>
      </c>
    </row>
    <row r="15" spans="1:15" ht="12.75">
      <c r="A15" s="226"/>
      <c r="B15" s="227"/>
      <c r="C15" s="1588" t="s">
        <v>1196</v>
      </c>
      <c r="D15" s="1589"/>
      <c r="E15" s="228">
        <v>4.27</v>
      </c>
      <c r="F15" s="229"/>
      <c r="G15" s="230"/>
      <c r="M15" s="234" t="s">
        <v>1196</v>
      </c>
      <c r="O15" s="268"/>
    </row>
    <row r="16" spans="1:15" ht="12.75">
      <c r="A16" s="226"/>
      <c r="B16" s="227"/>
      <c r="C16" s="1588" t="s">
        <v>1197</v>
      </c>
      <c r="D16" s="1589"/>
      <c r="E16" s="228">
        <v>13.68</v>
      </c>
      <c r="F16" s="229"/>
      <c r="G16" s="230"/>
      <c r="M16" s="234" t="s">
        <v>1197</v>
      </c>
      <c r="O16" s="268"/>
    </row>
    <row r="17" spans="1:15" ht="12.75">
      <c r="A17" s="226"/>
      <c r="B17" s="227"/>
      <c r="C17" s="1588" t="s">
        <v>1198</v>
      </c>
      <c r="D17" s="1589"/>
      <c r="E17" s="228">
        <v>-21.42</v>
      </c>
      <c r="F17" s="229"/>
      <c r="G17" s="230"/>
      <c r="M17" s="234" t="s">
        <v>1198</v>
      </c>
      <c r="O17" s="268"/>
    </row>
    <row r="18" spans="1:15" ht="12.75">
      <c r="A18" s="226"/>
      <c r="B18" s="227"/>
      <c r="C18" s="1588" t="s">
        <v>1199</v>
      </c>
      <c r="D18" s="1589"/>
      <c r="E18" s="228">
        <v>2.8</v>
      </c>
      <c r="F18" s="229"/>
      <c r="G18" s="230"/>
      <c r="M18" s="234" t="s">
        <v>1199</v>
      </c>
      <c r="O18" s="268"/>
    </row>
    <row r="19" spans="1:104" ht="12.75">
      <c r="A19" s="218">
        <v>4</v>
      </c>
      <c r="B19" s="219" t="s">
        <v>490</v>
      </c>
      <c r="C19" s="220" t="s">
        <v>491</v>
      </c>
      <c r="D19" s="221" t="s">
        <v>154</v>
      </c>
      <c r="E19" s="222">
        <v>-4.94</v>
      </c>
      <c r="F19" s="222">
        <v>0</v>
      </c>
      <c r="G19" s="223">
        <f>E19*F19</f>
        <v>0</v>
      </c>
      <c r="O19" s="268">
        <v>2</v>
      </c>
      <c r="AA19" s="266">
        <v>1</v>
      </c>
      <c r="AB19" s="266">
        <v>1</v>
      </c>
      <c r="AC19" s="266">
        <v>1</v>
      </c>
      <c r="AZ19" s="266">
        <v>1</v>
      </c>
      <c r="BA19" s="266">
        <f>IF(AZ19=1,G19,0)</f>
        <v>0</v>
      </c>
      <c r="BB19" s="266">
        <f>IF(AZ19=2,G19,0)</f>
        <v>0</v>
      </c>
      <c r="BC19" s="266">
        <f>IF(AZ19=3,G19,0)</f>
        <v>0</v>
      </c>
      <c r="BD19" s="266">
        <f>IF(AZ19=4,G19,0)</f>
        <v>0</v>
      </c>
      <c r="BE19" s="266">
        <f>IF(AZ19=5,G19,0)</f>
        <v>0</v>
      </c>
      <c r="CA19" s="268">
        <v>1</v>
      </c>
      <c r="CB19" s="268">
        <v>1</v>
      </c>
      <c r="CZ19" s="266">
        <v>0</v>
      </c>
    </row>
    <row r="20" spans="1:15" ht="12.75">
      <c r="A20" s="226"/>
      <c r="B20" s="227"/>
      <c r="C20" s="1588" t="s">
        <v>1197</v>
      </c>
      <c r="D20" s="1589"/>
      <c r="E20" s="228">
        <v>13.68</v>
      </c>
      <c r="F20" s="229"/>
      <c r="G20" s="230"/>
      <c r="M20" s="234" t="s">
        <v>1197</v>
      </c>
      <c r="O20" s="268"/>
    </row>
    <row r="21" spans="1:15" ht="12.75">
      <c r="A21" s="226"/>
      <c r="B21" s="227"/>
      <c r="C21" s="1588" t="s">
        <v>1198</v>
      </c>
      <c r="D21" s="1589"/>
      <c r="E21" s="228">
        <v>-21.42</v>
      </c>
      <c r="F21" s="229"/>
      <c r="G21" s="230"/>
      <c r="M21" s="234" t="s">
        <v>1198</v>
      </c>
      <c r="O21" s="268"/>
    </row>
    <row r="22" spans="1:15" ht="12.75">
      <c r="A22" s="226"/>
      <c r="B22" s="227"/>
      <c r="C22" s="1588" t="s">
        <v>1199</v>
      </c>
      <c r="D22" s="1589"/>
      <c r="E22" s="228">
        <v>2.8</v>
      </c>
      <c r="F22" s="229"/>
      <c r="G22" s="230"/>
      <c r="M22" s="234" t="s">
        <v>1199</v>
      </c>
      <c r="O22" s="268"/>
    </row>
    <row r="23" spans="1:104" ht="12.75">
      <c r="A23" s="218">
        <v>5</v>
      </c>
      <c r="B23" s="219" t="s">
        <v>492</v>
      </c>
      <c r="C23" s="220" t="s">
        <v>493</v>
      </c>
      <c r="D23" s="221" t="s">
        <v>154</v>
      </c>
      <c r="E23" s="222">
        <v>0.2612</v>
      </c>
      <c r="F23" s="222">
        <v>0</v>
      </c>
      <c r="G23" s="223">
        <f>E23*F23</f>
        <v>0</v>
      </c>
      <c r="O23" s="268">
        <v>2</v>
      </c>
      <c r="AA23" s="266">
        <v>1</v>
      </c>
      <c r="AB23" s="266">
        <v>1</v>
      </c>
      <c r="AC23" s="266">
        <v>1</v>
      </c>
      <c r="AZ23" s="266">
        <v>1</v>
      </c>
      <c r="BA23" s="266">
        <f>IF(AZ23=1,G23,0)</f>
        <v>0</v>
      </c>
      <c r="BB23" s="266">
        <f>IF(AZ23=2,G23,0)</f>
        <v>0</v>
      </c>
      <c r="BC23" s="266">
        <f>IF(AZ23=3,G23,0)</f>
        <v>0</v>
      </c>
      <c r="BD23" s="266">
        <f>IF(AZ23=4,G23,0)</f>
        <v>0</v>
      </c>
      <c r="BE23" s="266">
        <f>IF(AZ23=5,G23,0)</f>
        <v>0</v>
      </c>
      <c r="CA23" s="268">
        <v>1</v>
      </c>
      <c r="CB23" s="268">
        <v>1</v>
      </c>
      <c r="CZ23" s="266">
        <v>0</v>
      </c>
    </row>
    <row r="24" spans="1:15" ht="12.75">
      <c r="A24" s="226"/>
      <c r="B24" s="227"/>
      <c r="C24" s="1588" t="s">
        <v>1200</v>
      </c>
      <c r="D24" s="1589"/>
      <c r="E24" s="228">
        <v>0.55</v>
      </c>
      <c r="F24" s="229"/>
      <c r="G24" s="230"/>
      <c r="M24" s="234" t="s">
        <v>1200</v>
      </c>
      <c r="O24" s="268"/>
    </row>
    <row r="25" spans="1:15" ht="12.75">
      <c r="A25" s="226"/>
      <c r="B25" s="227"/>
      <c r="C25" s="1588" t="s">
        <v>1201</v>
      </c>
      <c r="D25" s="1589"/>
      <c r="E25" s="228">
        <v>-0.5</v>
      </c>
      <c r="F25" s="229"/>
      <c r="G25" s="230"/>
      <c r="M25" s="234" t="s">
        <v>1201</v>
      </c>
      <c r="O25" s="268"/>
    </row>
    <row r="26" spans="1:15" ht="12.75">
      <c r="A26" s="226"/>
      <c r="B26" s="227"/>
      <c r="C26" s="1588" t="s">
        <v>1202</v>
      </c>
      <c r="D26" s="1589"/>
      <c r="E26" s="228">
        <v>0.2112</v>
      </c>
      <c r="F26" s="229"/>
      <c r="G26" s="230"/>
      <c r="M26" s="234" t="s">
        <v>1202</v>
      </c>
      <c r="O26" s="268"/>
    </row>
    <row r="27" spans="1:104" ht="12.75">
      <c r="A27" s="218">
        <v>6</v>
      </c>
      <c r="B27" s="219" t="s">
        <v>495</v>
      </c>
      <c r="C27" s="220" t="s">
        <v>496</v>
      </c>
      <c r="D27" s="221" t="s">
        <v>154</v>
      </c>
      <c r="E27" s="222">
        <v>0.2612</v>
      </c>
      <c r="F27" s="222">
        <v>0</v>
      </c>
      <c r="G27" s="223">
        <f>E27*F27</f>
        <v>0</v>
      </c>
      <c r="O27" s="268">
        <v>2</v>
      </c>
      <c r="AA27" s="266">
        <v>1</v>
      </c>
      <c r="AB27" s="266">
        <v>1</v>
      </c>
      <c r="AC27" s="266">
        <v>1</v>
      </c>
      <c r="AZ27" s="266">
        <v>1</v>
      </c>
      <c r="BA27" s="266">
        <f>IF(AZ27=1,G27,0)</f>
        <v>0</v>
      </c>
      <c r="BB27" s="266">
        <f>IF(AZ27=2,G27,0)</f>
        <v>0</v>
      </c>
      <c r="BC27" s="266">
        <f>IF(AZ27=3,G27,0)</f>
        <v>0</v>
      </c>
      <c r="BD27" s="266">
        <f>IF(AZ27=4,G27,0)</f>
        <v>0</v>
      </c>
      <c r="BE27" s="266">
        <f>IF(AZ27=5,G27,0)</f>
        <v>0</v>
      </c>
      <c r="CA27" s="268">
        <v>1</v>
      </c>
      <c r="CB27" s="268">
        <v>1</v>
      </c>
      <c r="CZ27" s="266">
        <v>0</v>
      </c>
    </row>
    <row r="28" spans="1:15" ht="12.75">
      <c r="A28" s="226"/>
      <c r="B28" s="227"/>
      <c r="C28" s="1588" t="s">
        <v>1200</v>
      </c>
      <c r="D28" s="1589"/>
      <c r="E28" s="228">
        <v>0.55</v>
      </c>
      <c r="F28" s="229"/>
      <c r="G28" s="230"/>
      <c r="M28" s="234" t="s">
        <v>1200</v>
      </c>
      <c r="O28" s="268"/>
    </row>
    <row r="29" spans="1:15" ht="12.75">
      <c r="A29" s="226"/>
      <c r="B29" s="227"/>
      <c r="C29" s="1588" t="s">
        <v>1201</v>
      </c>
      <c r="D29" s="1589"/>
      <c r="E29" s="228">
        <v>-0.5</v>
      </c>
      <c r="F29" s="229"/>
      <c r="G29" s="230"/>
      <c r="M29" s="234" t="s">
        <v>1201</v>
      </c>
      <c r="O29" s="268"/>
    </row>
    <row r="30" spans="1:15" ht="12.75">
      <c r="A30" s="226"/>
      <c r="B30" s="227"/>
      <c r="C30" s="1588" t="s">
        <v>1202</v>
      </c>
      <c r="D30" s="1589"/>
      <c r="E30" s="228">
        <v>0.2112</v>
      </c>
      <c r="F30" s="229"/>
      <c r="G30" s="230"/>
      <c r="M30" s="234" t="s">
        <v>1202</v>
      </c>
      <c r="O30" s="268"/>
    </row>
    <row r="31" spans="1:104" ht="12.75">
      <c r="A31" s="218">
        <v>7</v>
      </c>
      <c r="B31" s="219" t="s">
        <v>498</v>
      </c>
      <c r="C31" s="220" t="s">
        <v>499</v>
      </c>
      <c r="D31" s="221" t="s">
        <v>154</v>
      </c>
      <c r="E31" s="222">
        <v>-302.4</v>
      </c>
      <c r="F31" s="222">
        <v>0</v>
      </c>
      <c r="G31" s="223">
        <f>E31*F31</f>
        <v>0</v>
      </c>
      <c r="O31" s="268">
        <v>2</v>
      </c>
      <c r="AA31" s="266">
        <v>1</v>
      </c>
      <c r="AB31" s="266">
        <v>1</v>
      </c>
      <c r="AC31" s="266">
        <v>1</v>
      </c>
      <c r="AZ31" s="266">
        <v>1</v>
      </c>
      <c r="BA31" s="266">
        <f>IF(AZ31=1,G31,0)</f>
        <v>0</v>
      </c>
      <c r="BB31" s="266">
        <f>IF(AZ31=2,G31,0)</f>
        <v>0</v>
      </c>
      <c r="BC31" s="266">
        <f>IF(AZ31=3,G31,0)</f>
        <v>0</v>
      </c>
      <c r="BD31" s="266">
        <f>IF(AZ31=4,G31,0)</f>
        <v>0</v>
      </c>
      <c r="BE31" s="266">
        <f>IF(AZ31=5,G31,0)</f>
        <v>0</v>
      </c>
      <c r="CA31" s="268">
        <v>1</v>
      </c>
      <c r="CB31" s="268">
        <v>1</v>
      </c>
      <c r="CZ31" s="266">
        <v>0</v>
      </c>
    </row>
    <row r="32" spans="1:15" ht="12.75">
      <c r="A32" s="226"/>
      <c r="B32" s="227"/>
      <c r="C32" s="1588" t="s">
        <v>1203</v>
      </c>
      <c r="D32" s="1589"/>
      <c r="E32" s="228">
        <v>-302.4</v>
      </c>
      <c r="F32" s="229"/>
      <c r="G32" s="230"/>
      <c r="M32" s="234" t="s">
        <v>1203</v>
      </c>
      <c r="O32" s="268"/>
    </row>
    <row r="33" spans="1:104" ht="12.75">
      <c r="A33" s="218">
        <v>8</v>
      </c>
      <c r="B33" s="219" t="s">
        <v>164</v>
      </c>
      <c r="C33" s="220" t="s">
        <v>165</v>
      </c>
      <c r="D33" s="221" t="s">
        <v>166</v>
      </c>
      <c r="E33" s="222">
        <v>-63.504</v>
      </c>
      <c r="F33" s="222">
        <v>0</v>
      </c>
      <c r="G33" s="223">
        <f>E33*F33</f>
        <v>0</v>
      </c>
      <c r="O33" s="268">
        <v>2</v>
      </c>
      <c r="AA33" s="266">
        <v>1</v>
      </c>
      <c r="AB33" s="266">
        <v>1</v>
      </c>
      <c r="AC33" s="266">
        <v>1</v>
      </c>
      <c r="AZ33" s="266">
        <v>1</v>
      </c>
      <c r="BA33" s="266">
        <f>IF(AZ33=1,G33,0)</f>
        <v>0</v>
      </c>
      <c r="BB33" s="266">
        <f>IF(AZ33=2,G33,0)</f>
        <v>0</v>
      </c>
      <c r="BC33" s="266">
        <f>IF(AZ33=3,G33,0)</f>
        <v>0</v>
      </c>
      <c r="BD33" s="266">
        <f>IF(AZ33=4,G33,0)</f>
        <v>0</v>
      </c>
      <c r="BE33" s="266">
        <f>IF(AZ33=5,G33,0)</f>
        <v>0</v>
      </c>
      <c r="CA33" s="268">
        <v>1</v>
      </c>
      <c r="CB33" s="268">
        <v>1</v>
      </c>
      <c r="CZ33" s="266">
        <v>0</v>
      </c>
    </row>
    <row r="34" spans="1:15" ht="12.75">
      <c r="A34" s="226"/>
      <c r="B34" s="235"/>
      <c r="C34" s="1595"/>
      <c r="D34" s="1596"/>
      <c r="E34" s="1596"/>
      <c r="F34" s="1596"/>
      <c r="G34" s="1597"/>
      <c r="L34" s="234"/>
      <c r="O34" s="268">
        <v>3</v>
      </c>
    </row>
    <row r="35" spans="1:15" ht="12.75">
      <c r="A35" s="226"/>
      <c r="B35" s="227"/>
      <c r="C35" s="1588" t="s">
        <v>1204</v>
      </c>
      <c r="D35" s="1589"/>
      <c r="E35" s="228">
        <v>-63.504</v>
      </c>
      <c r="F35" s="229"/>
      <c r="G35" s="230"/>
      <c r="M35" s="234" t="s">
        <v>1204</v>
      </c>
      <c r="O35" s="268"/>
    </row>
    <row r="36" spans="1:104" ht="12.75">
      <c r="A36" s="218">
        <v>9</v>
      </c>
      <c r="B36" s="219" t="s">
        <v>502</v>
      </c>
      <c r="C36" s="220" t="s">
        <v>503</v>
      </c>
      <c r="D36" s="221" t="s">
        <v>154</v>
      </c>
      <c r="E36" s="222">
        <v>-5.228</v>
      </c>
      <c r="F36" s="222">
        <v>0</v>
      </c>
      <c r="G36" s="223">
        <f>E36*F36</f>
        <v>0</v>
      </c>
      <c r="O36" s="268">
        <v>2</v>
      </c>
      <c r="AA36" s="266">
        <v>1</v>
      </c>
      <c r="AB36" s="266">
        <v>1</v>
      </c>
      <c r="AC36" s="266">
        <v>1</v>
      </c>
      <c r="AZ36" s="266">
        <v>1</v>
      </c>
      <c r="BA36" s="266">
        <f>IF(AZ36=1,G36,0)</f>
        <v>0</v>
      </c>
      <c r="BB36" s="266">
        <f>IF(AZ36=2,G36,0)</f>
        <v>0</v>
      </c>
      <c r="BC36" s="266">
        <f>IF(AZ36=3,G36,0)</f>
        <v>0</v>
      </c>
      <c r="BD36" s="266">
        <f>IF(AZ36=4,G36,0)</f>
        <v>0</v>
      </c>
      <c r="BE36" s="266">
        <f>IF(AZ36=5,G36,0)</f>
        <v>0</v>
      </c>
      <c r="CA36" s="268">
        <v>1</v>
      </c>
      <c r="CB36" s="268">
        <v>1</v>
      </c>
      <c r="CZ36" s="266">
        <v>0</v>
      </c>
    </row>
    <row r="37" spans="1:15" ht="12.75">
      <c r="A37" s="226"/>
      <c r="B37" s="227"/>
      <c r="C37" s="1588" t="s">
        <v>1205</v>
      </c>
      <c r="D37" s="1589"/>
      <c r="E37" s="228">
        <v>2.772</v>
      </c>
      <c r="F37" s="229"/>
      <c r="G37" s="230"/>
      <c r="M37" s="234" t="s">
        <v>1205</v>
      </c>
      <c r="O37" s="268"/>
    </row>
    <row r="38" spans="1:15" ht="12.75">
      <c r="A38" s="226"/>
      <c r="B38" s="227"/>
      <c r="C38" s="1588" t="s">
        <v>1206</v>
      </c>
      <c r="D38" s="1589"/>
      <c r="E38" s="228">
        <v>-8</v>
      </c>
      <c r="F38" s="229"/>
      <c r="G38" s="230"/>
      <c r="M38" s="234">
        <v>-8</v>
      </c>
      <c r="O38" s="268"/>
    </row>
    <row r="39" spans="1:57" ht="12.75">
      <c r="A39" s="236"/>
      <c r="B39" s="237" t="s">
        <v>175</v>
      </c>
      <c r="C39" s="238" t="str">
        <f>CONCATENATE(B7," ",C7)</f>
        <v>1 Zemní práce</v>
      </c>
      <c r="D39" s="239"/>
      <c r="E39" s="240"/>
      <c r="F39" s="241"/>
      <c r="G39" s="242">
        <f>SUM(G7:G38)</f>
        <v>0</v>
      </c>
      <c r="O39" s="268">
        <v>4</v>
      </c>
      <c r="BA39" s="269">
        <f>SUM(BA7:BA38)</f>
        <v>0</v>
      </c>
      <c r="BB39" s="269">
        <f>SUM(BB7:BB38)</f>
        <v>0</v>
      </c>
      <c r="BC39" s="269">
        <f>SUM(BC7:BC38)</f>
        <v>0</v>
      </c>
      <c r="BD39" s="269">
        <f>SUM(BD7:BD38)</f>
        <v>0</v>
      </c>
      <c r="BE39" s="269">
        <f>SUM(BE7:BE38)</f>
        <v>0</v>
      </c>
    </row>
    <row r="40" spans="1:15" ht="12.75">
      <c r="A40" s="207" t="s">
        <v>140</v>
      </c>
      <c r="B40" s="208" t="s">
        <v>177</v>
      </c>
      <c r="C40" s="209" t="s">
        <v>178</v>
      </c>
      <c r="D40" s="210"/>
      <c r="E40" s="211"/>
      <c r="F40" s="211"/>
      <c r="G40" s="212"/>
      <c r="H40" s="267"/>
      <c r="I40" s="267"/>
      <c r="O40" s="268">
        <v>1</v>
      </c>
    </row>
    <row r="41" spans="1:104" ht="12.75">
      <c r="A41" s="218">
        <v>10</v>
      </c>
      <c r="B41" s="219" t="s">
        <v>511</v>
      </c>
      <c r="C41" s="220" t="s">
        <v>512</v>
      </c>
      <c r="D41" s="221" t="s">
        <v>231</v>
      </c>
      <c r="E41" s="222">
        <v>-6.55</v>
      </c>
      <c r="F41" s="222">
        <v>0</v>
      </c>
      <c r="G41" s="223">
        <f>E41*F41</f>
        <v>0</v>
      </c>
      <c r="O41" s="268">
        <v>2</v>
      </c>
      <c r="AA41" s="266">
        <v>1</v>
      </c>
      <c r="AB41" s="266">
        <v>0</v>
      </c>
      <c r="AC41" s="266">
        <v>0</v>
      </c>
      <c r="AZ41" s="266">
        <v>1</v>
      </c>
      <c r="BA41" s="266">
        <f>IF(AZ41=1,G41,0)</f>
        <v>0</v>
      </c>
      <c r="BB41" s="266">
        <f>IF(AZ41=2,G41,0)</f>
        <v>0</v>
      </c>
      <c r="BC41" s="266">
        <f>IF(AZ41=3,G41,0)</f>
        <v>0</v>
      </c>
      <c r="BD41" s="266">
        <f>IF(AZ41=4,G41,0)</f>
        <v>0</v>
      </c>
      <c r="BE41" s="266">
        <f>IF(AZ41=5,G41,0)</f>
        <v>0</v>
      </c>
      <c r="CA41" s="268">
        <v>1</v>
      </c>
      <c r="CB41" s="268">
        <v>0</v>
      </c>
      <c r="CZ41" s="266">
        <v>0.0185</v>
      </c>
    </row>
    <row r="42" spans="1:15" ht="12.75">
      <c r="A42" s="226"/>
      <c r="B42" s="227"/>
      <c r="C42" s="1588" t="s">
        <v>513</v>
      </c>
      <c r="D42" s="1589"/>
      <c r="E42" s="228">
        <v>0</v>
      </c>
      <c r="F42" s="229"/>
      <c r="G42" s="230"/>
      <c r="M42" s="234" t="s">
        <v>513</v>
      </c>
      <c r="O42" s="268"/>
    </row>
    <row r="43" spans="1:15" ht="12.75">
      <c r="A43" s="226"/>
      <c r="B43" s="227"/>
      <c r="C43" s="1588" t="s">
        <v>1207</v>
      </c>
      <c r="D43" s="1589"/>
      <c r="E43" s="228">
        <v>6.15</v>
      </c>
      <c r="F43" s="229"/>
      <c r="G43" s="230"/>
      <c r="M43" s="234" t="s">
        <v>1207</v>
      </c>
      <c r="O43" s="268"/>
    </row>
    <row r="44" spans="1:15" ht="12.75">
      <c r="A44" s="226"/>
      <c r="B44" s="227"/>
      <c r="C44" s="1588" t="s">
        <v>1208</v>
      </c>
      <c r="D44" s="1589"/>
      <c r="E44" s="228">
        <v>1</v>
      </c>
      <c r="F44" s="229"/>
      <c r="G44" s="230"/>
      <c r="M44" s="679">
        <v>0.12569444444444444</v>
      </c>
      <c r="O44" s="268"/>
    </row>
    <row r="45" spans="1:15" ht="12.75">
      <c r="A45" s="226"/>
      <c r="B45" s="227"/>
      <c r="C45" s="1588" t="s">
        <v>1209</v>
      </c>
      <c r="D45" s="1589"/>
      <c r="E45" s="228">
        <v>1</v>
      </c>
      <c r="F45" s="229"/>
      <c r="G45" s="230"/>
      <c r="M45" s="679">
        <v>0.2923611111111111</v>
      </c>
      <c r="O45" s="268"/>
    </row>
    <row r="46" spans="1:15" ht="12.75">
      <c r="A46" s="226"/>
      <c r="B46" s="227"/>
      <c r="C46" s="1588" t="s">
        <v>1210</v>
      </c>
      <c r="D46" s="1589"/>
      <c r="E46" s="228">
        <v>-14.7</v>
      </c>
      <c r="F46" s="229"/>
      <c r="G46" s="230"/>
      <c r="M46" s="234" t="s">
        <v>1210</v>
      </c>
      <c r="O46" s="268"/>
    </row>
    <row r="47" spans="1:57" ht="12.75">
      <c r="A47" s="236"/>
      <c r="B47" s="237" t="s">
        <v>175</v>
      </c>
      <c r="C47" s="238" t="str">
        <f>CONCATENATE(B40," ",C40)</f>
        <v>11 Přípravné a přidružené práce</v>
      </c>
      <c r="D47" s="239"/>
      <c r="E47" s="240"/>
      <c r="F47" s="241"/>
      <c r="G47" s="242">
        <f>SUM(G40:G46)</f>
        <v>0</v>
      </c>
      <c r="O47" s="268">
        <v>4</v>
      </c>
      <c r="BA47" s="269">
        <f>SUM(BA40:BA46)</f>
        <v>0</v>
      </c>
      <c r="BB47" s="269">
        <f>SUM(BB40:BB46)</f>
        <v>0</v>
      </c>
      <c r="BC47" s="269">
        <f>SUM(BC40:BC46)</f>
        <v>0</v>
      </c>
      <c r="BD47" s="269">
        <f>SUM(BD40:BD46)</f>
        <v>0</v>
      </c>
      <c r="BE47" s="269">
        <f>SUM(BE40:BE46)</f>
        <v>0</v>
      </c>
    </row>
    <row r="48" spans="1:15" ht="12.75">
      <c r="A48" s="207" t="s">
        <v>140</v>
      </c>
      <c r="B48" s="208" t="s">
        <v>183</v>
      </c>
      <c r="C48" s="209" t="s">
        <v>184</v>
      </c>
      <c r="D48" s="210"/>
      <c r="E48" s="211"/>
      <c r="F48" s="211"/>
      <c r="G48" s="212"/>
      <c r="H48" s="267"/>
      <c r="I48" s="267"/>
      <c r="O48" s="268">
        <v>1</v>
      </c>
    </row>
    <row r="49" spans="1:104" ht="12.75">
      <c r="A49" s="218">
        <v>11</v>
      </c>
      <c r="B49" s="219" t="s">
        <v>517</v>
      </c>
      <c r="C49" s="220" t="s">
        <v>518</v>
      </c>
      <c r="D49" s="221" t="s">
        <v>154</v>
      </c>
      <c r="E49" s="222">
        <v>0.474</v>
      </c>
      <c r="F49" s="222">
        <v>0</v>
      </c>
      <c r="G49" s="223">
        <f>E49*F49</f>
        <v>0</v>
      </c>
      <c r="O49" s="268">
        <v>2</v>
      </c>
      <c r="AA49" s="266">
        <v>1</v>
      </c>
      <c r="AB49" s="266">
        <v>1</v>
      </c>
      <c r="AC49" s="266">
        <v>1</v>
      </c>
      <c r="AZ49" s="266">
        <v>1</v>
      </c>
      <c r="BA49" s="266">
        <f>IF(AZ49=1,G49,0)</f>
        <v>0</v>
      </c>
      <c r="BB49" s="266">
        <f>IF(AZ49=2,G49,0)</f>
        <v>0</v>
      </c>
      <c r="BC49" s="266">
        <f>IF(AZ49=3,G49,0)</f>
        <v>0</v>
      </c>
      <c r="BD49" s="266">
        <f>IF(AZ49=4,G49,0)</f>
        <v>0</v>
      </c>
      <c r="BE49" s="266">
        <f>IF(AZ49=5,G49,0)</f>
        <v>0</v>
      </c>
      <c r="CA49" s="268">
        <v>1</v>
      </c>
      <c r="CB49" s="268">
        <v>1</v>
      </c>
      <c r="CZ49" s="266">
        <v>2.16</v>
      </c>
    </row>
    <row r="50" spans="1:15" ht="12.75">
      <c r="A50" s="226"/>
      <c r="B50" s="227"/>
      <c r="C50" s="1588" t="s">
        <v>1211</v>
      </c>
      <c r="D50" s="1589"/>
      <c r="E50" s="228">
        <v>4.784</v>
      </c>
      <c r="F50" s="229"/>
      <c r="G50" s="230"/>
      <c r="M50" s="234" t="s">
        <v>1211</v>
      </c>
      <c r="O50" s="268"/>
    </row>
    <row r="51" spans="1:15" ht="12.75">
      <c r="A51" s="226"/>
      <c r="B51" s="227"/>
      <c r="C51" s="1588" t="s">
        <v>1212</v>
      </c>
      <c r="D51" s="1589"/>
      <c r="E51" s="228">
        <v>-4.31</v>
      </c>
      <c r="F51" s="229"/>
      <c r="G51" s="230"/>
      <c r="M51" s="234" t="s">
        <v>1212</v>
      </c>
      <c r="O51" s="268"/>
    </row>
    <row r="52" spans="1:104" ht="12.75">
      <c r="A52" s="218">
        <v>12</v>
      </c>
      <c r="B52" s="219" t="s">
        <v>520</v>
      </c>
      <c r="C52" s="220" t="s">
        <v>521</v>
      </c>
      <c r="D52" s="221" t="s">
        <v>154</v>
      </c>
      <c r="E52" s="222">
        <v>0.474</v>
      </c>
      <c r="F52" s="222">
        <v>0</v>
      </c>
      <c r="G52" s="223">
        <f>E52*F52</f>
        <v>0</v>
      </c>
      <c r="O52" s="268">
        <v>2</v>
      </c>
      <c r="AA52" s="266">
        <v>1</v>
      </c>
      <c r="AB52" s="266">
        <v>1</v>
      </c>
      <c r="AC52" s="266">
        <v>1</v>
      </c>
      <c r="AZ52" s="266">
        <v>1</v>
      </c>
      <c r="BA52" s="266">
        <f>IF(AZ52=1,G52,0)</f>
        <v>0</v>
      </c>
      <c r="BB52" s="266">
        <f>IF(AZ52=2,G52,0)</f>
        <v>0</v>
      </c>
      <c r="BC52" s="266">
        <f>IF(AZ52=3,G52,0)</f>
        <v>0</v>
      </c>
      <c r="BD52" s="266">
        <f>IF(AZ52=4,G52,0)</f>
        <v>0</v>
      </c>
      <c r="BE52" s="266">
        <f>IF(AZ52=5,G52,0)</f>
        <v>0</v>
      </c>
      <c r="CA52" s="268">
        <v>1</v>
      </c>
      <c r="CB52" s="268">
        <v>1</v>
      </c>
      <c r="CZ52" s="266">
        <v>2.525</v>
      </c>
    </row>
    <row r="53" spans="1:15" ht="12.75">
      <c r="A53" s="226"/>
      <c r="B53" s="227"/>
      <c r="C53" s="1588" t="s">
        <v>1211</v>
      </c>
      <c r="D53" s="1589"/>
      <c r="E53" s="228">
        <v>4.784</v>
      </c>
      <c r="F53" s="229"/>
      <c r="G53" s="230"/>
      <c r="M53" s="234" t="s">
        <v>1211</v>
      </c>
      <c r="O53" s="268"/>
    </row>
    <row r="54" spans="1:15" ht="12.75">
      <c r="A54" s="226"/>
      <c r="B54" s="227"/>
      <c r="C54" s="1588" t="s">
        <v>1212</v>
      </c>
      <c r="D54" s="1589"/>
      <c r="E54" s="228">
        <v>-4.31</v>
      </c>
      <c r="F54" s="229"/>
      <c r="G54" s="230"/>
      <c r="M54" s="234" t="s">
        <v>1212</v>
      </c>
      <c r="O54" s="268"/>
    </row>
    <row r="55" spans="1:104" ht="20.4">
      <c r="A55" s="218">
        <v>13</v>
      </c>
      <c r="B55" s="219" t="s">
        <v>522</v>
      </c>
      <c r="C55" s="220" t="s">
        <v>523</v>
      </c>
      <c r="D55" s="221" t="s">
        <v>166</v>
      </c>
      <c r="E55" s="222">
        <v>0.0379</v>
      </c>
      <c r="F55" s="222">
        <v>0</v>
      </c>
      <c r="G55" s="223">
        <f>E55*F55</f>
        <v>0</v>
      </c>
      <c r="O55" s="268">
        <v>2</v>
      </c>
      <c r="AA55" s="266">
        <v>1</v>
      </c>
      <c r="AB55" s="266">
        <v>1</v>
      </c>
      <c r="AC55" s="266">
        <v>1</v>
      </c>
      <c r="AZ55" s="266">
        <v>1</v>
      </c>
      <c r="BA55" s="266">
        <f>IF(AZ55=1,G55,0)</f>
        <v>0</v>
      </c>
      <c r="BB55" s="266">
        <f>IF(AZ55=2,G55,0)</f>
        <v>0</v>
      </c>
      <c r="BC55" s="266">
        <f>IF(AZ55=3,G55,0)</f>
        <v>0</v>
      </c>
      <c r="BD55" s="266">
        <f>IF(AZ55=4,G55,0)</f>
        <v>0</v>
      </c>
      <c r="BE55" s="266">
        <f>IF(AZ55=5,G55,0)</f>
        <v>0</v>
      </c>
      <c r="CA55" s="268">
        <v>1</v>
      </c>
      <c r="CB55" s="268">
        <v>1</v>
      </c>
      <c r="CZ55" s="266">
        <v>0.00374</v>
      </c>
    </row>
    <row r="56" spans="1:15" ht="12.75">
      <c r="A56" s="226"/>
      <c r="B56" s="227"/>
      <c r="C56" s="1588" t="s">
        <v>1213</v>
      </c>
      <c r="D56" s="1589"/>
      <c r="E56" s="228">
        <v>0.3779</v>
      </c>
      <c r="F56" s="229"/>
      <c r="G56" s="230"/>
      <c r="M56" s="234" t="s">
        <v>1213</v>
      </c>
      <c r="O56" s="268"/>
    </row>
    <row r="57" spans="1:15" ht="12.75">
      <c r="A57" s="226"/>
      <c r="B57" s="227"/>
      <c r="C57" s="1588" t="s">
        <v>1214</v>
      </c>
      <c r="D57" s="1589"/>
      <c r="E57" s="228">
        <v>-0.34</v>
      </c>
      <c r="F57" s="229"/>
      <c r="G57" s="230"/>
      <c r="M57" s="234" t="s">
        <v>1214</v>
      </c>
      <c r="O57" s="268"/>
    </row>
    <row r="58" spans="1:104" ht="12.75">
      <c r="A58" s="218">
        <v>14</v>
      </c>
      <c r="B58" s="219" t="s">
        <v>185</v>
      </c>
      <c r="C58" s="220" t="s">
        <v>186</v>
      </c>
      <c r="D58" s="221" t="s">
        <v>154</v>
      </c>
      <c r="E58" s="222">
        <v>-6.3588</v>
      </c>
      <c r="F58" s="222">
        <v>0</v>
      </c>
      <c r="G58" s="223">
        <f>E58*F58</f>
        <v>0</v>
      </c>
      <c r="O58" s="268">
        <v>2</v>
      </c>
      <c r="AA58" s="266">
        <v>1</v>
      </c>
      <c r="AB58" s="266">
        <v>1</v>
      </c>
      <c r="AC58" s="266">
        <v>1</v>
      </c>
      <c r="AZ58" s="266">
        <v>1</v>
      </c>
      <c r="BA58" s="266">
        <f>IF(AZ58=1,G58,0)</f>
        <v>0</v>
      </c>
      <c r="BB58" s="266">
        <f>IF(AZ58=2,G58,0)</f>
        <v>0</v>
      </c>
      <c r="BC58" s="266">
        <f>IF(AZ58=3,G58,0)</f>
        <v>0</v>
      </c>
      <c r="BD58" s="266">
        <f>IF(AZ58=4,G58,0)</f>
        <v>0</v>
      </c>
      <c r="BE58" s="266">
        <f>IF(AZ58=5,G58,0)</f>
        <v>0</v>
      </c>
      <c r="CA58" s="268">
        <v>1</v>
      </c>
      <c r="CB58" s="268">
        <v>1</v>
      </c>
      <c r="CZ58" s="266">
        <v>2.525</v>
      </c>
    </row>
    <row r="59" spans="1:15" ht="12.75">
      <c r="A59" s="226"/>
      <c r="B59" s="227"/>
      <c r="C59" s="1588" t="s">
        <v>1215</v>
      </c>
      <c r="D59" s="1589"/>
      <c r="E59" s="228">
        <v>7.6</v>
      </c>
      <c r="F59" s="229"/>
      <c r="G59" s="230"/>
      <c r="M59" s="234" t="s">
        <v>1215</v>
      </c>
      <c r="O59" s="268"/>
    </row>
    <row r="60" spans="1:15" ht="12.75">
      <c r="A60" s="226"/>
      <c r="B60" s="227"/>
      <c r="C60" s="1588" t="s">
        <v>1216</v>
      </c>
      <c r="D60" s="1589"/>
      <c r="E60" s="228">
        <v>4.27</v>
      </c>
      <c r="F60" s="229"/>
      <c r="G60" s="230"/>
      <c r="M60" s="234" t="s">
        <v>1216</v>
      </c>
      <c r="O60" s="268"/>
    </row>
    <row r="61" spans="1:15" ht="12.75">
      <c r="A61" s="226"/>
      <c r="B61" s="227"/>
      <c r="C61" s="1588" t="s">
        <v>1217</v>
      </c>
      <c r="D61" s="1589"/>
      <c r="E61" s="228">
        <v>0.2112</v>
      </c>
      <c r="F61" s="229"/>
      <c r="G61" s="230"/>
      <c r="M61" s="234" t="s">
        <v>1217</v>
      </c>
      <c r="O61" s="268"/>
    </row>
    <row r="62" spans="1:15" ht="12.75">
      <c r="A62" s="226"/>
      <c r="B62" s="227"/>
      <c r="C62" s="1588" t="s">
        <v>1218</v>
      </c>
      <c r="D62" s="1589"/>
      <c r="E62" s="228">
        <v>-18.44</v>
      </c>
      <c r="F62" s="229"/>
      <c r="G62" s="230"/>
      <c r="M62" s="234" t="s">
        <v>1218</v>
      </c>
      <c r="O62" s="268"/>
    </row>
    <row r="63" spans="1:104" ht="12.75">
      <c r="A63" s="218">
        <v>15</v>
      </c>
      <c r="B63" s="219" t="s">
        <v>530</v>
      </c>
      <c r="C63" s="220" t="s">
        <v>531</v>
      </c>
      <c r="D63" s="221" t="s">
        <v>145</v>
      </c>
      <c r="E63" s="222">
        <v>-14.9</v>
      </c>
      <c r="F63" s="222">
        <v>0</v>
      </c>
      <c r="G63" s="223">
        <f>E63*F63</f>
        <v>0</v>
      </c>
      <c r="O63" s="268">
        <v>2</v>
      </c>
      <c r="AA63" s="266">
        <v>1</v>
      </c>
      <c r="AB63" s="266">
        <v>1</v>
      </c>
      <c r="AC63" s="266">
        <v>1</v>
      </c>
      <c r="AZ63" s="266">
        <v>1</v>
      </c>
      <c r="BA63" s="266">
        <f>IF(AZ63=1,G63,0)</f>
        <v>0</v>
      </c>
      <c r="BB63" s="266">
        <f>IF(AZ63=2,G63,0)</f>
        <v>0</v>
      </c>
      <c r="BC63" s="266">
        <f>IF(AZ63=3,G63,0)</f>
        <v>0</v>
      </c>
      <c r="BD63" s="266">
        <f>IF(AZ63=4,G63,0)</f>
        <v>0</v>
      </c>
      <c r="BE63" s="266">
        <f>IF(AZ63=5,G63,0)</f>
        <v>0</v>
      </c>
      <c r="CA63" s="268">
        <v>1</v>
      </c>
      <c r="CB63" s="268">
        <v>1</v>
      </c>
      <c r="CZ63" s="266">
        <v>0.03916</v>
      </c>
    </row>
    <row r="64" spans="1:15" ht="12.75">
      <c r="A64" s="226"/>
      <c r="B64" s="227"/>
      <c r="C64" s="1588" t="s">
        <v>1219</v>
      </c>
      <c r="D64" s="1589"/>
      <c r="E64" s="228">
        <v>-10</v>
      </c>
      <c r="F64" s="229"/>
      <c r="G64" s="230"/>
      <c r="M64" s="234" t="s">
        <v>1219</v>
      </c>
      <c r="O64" s="268"/>
    </row>
    <row r="65" spans="1:15" ht="12.75">
      <c r="A65" s="226"/>
      <c r="B65" s="227"/>
      <c r="C65" s="1588" t="s">
        <v>1220</v>
      </c>
      <c r="D65" s="1589"/>
      <c r="E65" s="228">
        <v>-4.9</v>
      </c>
      <c r="F65" s="229"/>
      <c r="G65" s="230"/>
      <c r="M65" s="234" t="s">
        <v>1220</v>
      </c>
      <c r="O65" s="268"/>
    </row>
    <row r="66" spans="1:104" ht="12.75">
      <c r="A66" s="218">
        <v>16</v>
      </c>
      <c r="B66" s="219" t="s">
        <v>534</v>
      </c>
      <c r="C66" s="220" t="s">
        <v>535</v>
      </c>
      <c r="D66" s="221" t="s">
        <v>145</v>
      </c>
      <c r="E66" s="222">
        <v>-14.9</v>
      </c>
      <c r="F66" s="222">
        <v>0</v>
      </c>
      <c r="G66" s="223">
        <f>E66*F66</f>
        <v>0</v>
      </c>
      <c r="O66" s="268">
        <v>2</v>
      </c>
      <c r="AA66" s="266">
        <v>1</v>
      </c>
      <c r="AB66" s="266">
        <v>1</v>
      </c>
      <c r="AC66" s="266">
        <v>1</v>
      </c>
      <c r="AZ66" s="266">
        <v>1</v>
      </c>
      <c r="BA66" s="266">
        <f>IF(AZ66=1,G66,0)</f>
        <v>0</v>
      </c>
      <c r="BB66" s="266">
        <f>IF(AZ66=2,G66,0)</f>
        <v>0</v>
      </c>
      <c r="BC66" s="266">
        <f>IF(AZ66=3,G66,0)</f>
        <v>0</v>
      </c>
      <c r="BD66" s="266">
        <f>IF(AZ66=4,G66,0)</f>
        <v>0</v>
      </c>
      <c r="BE66" s="266">
        <f>IF(AZ66=5,G66,0)</f>
        <v>0</v>
      </c>
      <c r="CA66" s="268">
        <v>1</v>
      </c>
      <c r="CB66" s="268">
        <v>1</v>
      </c>
      <c r="CZ66" s="266">
        <v>0</v>
      </c>
    </row>
    <row r="67" spans="1:104" ht="12.75">
      <c r="A67" s="218">
        <v>17</v>
      </c>
      <c r="B67" s="219" t="s">
        <v>536</v>
      </c>
      <c r="C67" s="220" t="s">
        <v>537</v>
      </c>
      <c r="D67" s="221" t="s">
        <v>196</v>
      </c>
      <c r="E67" s="222">
        <v>2</v>
      </c>
      <c r="F67" s="222">
        <v>0</v>
      </c>
      <c r="G67" s="223">
        <f>E67*F67</f>
        <v>0</v>
      </c>
      <c r="O67" s="268">
        <v>2</v>
      </c>
      <c r="AA67" s="266">
        <v>1</v>
      </c>
      <c r="AB67" s="266">
        <v>1</v>
      </c>
      <c r="AC67" s="266">
        <v>1</v>
      </c>
      <c r="AZ67" s="266">
        <v>1</v>
      </c>
      <c r="BA67" s="266">
        <f>IF(AZ67=1,G67,0)</f>
        <v>0</v>
      </c>
      <c r="BB67" s="266">
        <f>IF(AZ67=2,G67,0)</f>
        <v>0</v>
      </c>
      <c r="BC67" s="266">
        <f>IF(AZ67=3,G67,0)</f>
        <v>0</v>
      </c>
      <c r="BD67" s="266">
        <f>IF(AZ67=4,G67,0)</f>
        <v>0</v>
      </c>
      <c r="BE67" s="266">
        <f>IF(AZ67=5,G67,0)</f>
        <v>0</v>
      </c>
      <c r="CA67" s="268">
        <v>1</v>
      </c>
      <c r="CB67" s="268">
        <v>1</v>
      </c>
      <c r="CZ67" s="266">
        <v>0.00242</v>
      </c>
    </row>
    <row r="68" spans="1:15" ht="12.75">
      <c r="A68" s="226"/>
      <c r="B68" s="227"/>
      <c r="C68" s="1588" t="s">
        <v>1221</v>
      </c>
      <c r="D68" s="1589"/>
      <c r="E68" s="228">
        <v>2</v>
      </c>
      <c r="F68" s="229"/>
      <c r="G68" s="230"/>
      <c r="M68" s="234" t="s">
        <v>1221</v>
      </c>
      <c r="O68" s="268"/>
    </row>
    <row r="69" spans="1:104" ht="12.75">
      <c r="A69" s="218">
        <v>18</v>
      </c>
      <c r="B69" s="219" t="s">
        <v>541</v>
      </c>
      <c r="C69" s="220" t="s">
        <v>542</v>
      </c>
      <c r="D69" s="221" t="s">
        <v>154</v>
      </c>
      <c r="E69" s="222">
        <v>0.05</v>
      </c>
      <c r="F69" s="222">
        <v>0</v>
      </c>
      <c r="G69" s="223">
        <f>E69*F69</f>
        <v>0</v>
      </c>
      <c r="O69" s="268">
        <v>2</v>
      </c>
      <c r="AA69" s="266">
        <v>1</v>
      </c>
      <c r="AB69" s="266">
        <v>1</v>
      </c>
      <c r="AC69" s="266">
        <v>1</v>
      </c>
      <c r="AZ69" s="266">
        <v>1</v>
      </c>
      <c r="BA69" s="266">
        <f>IF(AZ69=1,G69,0)</f>
        <v>0</v>
      </c>
      <c r="BB69" s="266">
        <f>IF(AZ69=2,G69,0)</f>
        <v>0</v>
      </c>
      <c r="BC69" s="266">
        <f>IF(AZ69=3,G69,0)</f>
        <v>0</v>
      </c>
      <c r="BD69" s="266">
        <f>IF(AZ69=4,G69,0)</f>
        <v>0</v>
      </c>
      <c r="BE69" s="266">
        <f>IF(AZ69=5,G69,0)</f>
        <v>0</v>
      </c>
      <c r="CA69" s="268">
        <v>1</v>
      </c>
      <c r="CB69" s="268">
        <v>1</v>
      </c>
      <c r="CZ69" s="266">
        <v>2.525</v>
      </c>
    </row>
    <row r="70" spans="1:15" ht="12.75">
      <c r="A70" s="226"/>
      <c r="B70" s="227"/>
      <c r="C70" s="1588" t="s">
        <v>1222</v>
      </c>
      <c r="D70" s="1589"/>
      <c r="E70" s="228">
        <v>0.55</v>
      </c>
      <c r="F70" s="229"/>
      <c r="G70" s="230"/>
      <c r="M70" s="234" t="s">
        <v>1222</v>
      </c>
      <c r="O70" s="268"/>
    </row>
    <row r="71" spans="1:15" ht="12.75">
      <c r="A71" s="226"/>
      <c r="B71" s="227"/>
      <c r="C71" s="1588" t="s">
        <v>1201</v>
      </c>
      <c r="D71" s="1589"/>
      <c r="E71" s="228">
        <v>-0.5</v>
      </c>
      <c r="F71" s="229"/>
      <c r="G71" s="230"/>
      <c r="M71" s="234" t="s">
        <v>1201</v>
      </c>
      <c r="O71" s="268"/>
    </row>
    <row r="72" spans="1:57" ht="12.75">
      <c r="A72" s="236"/>
      <c r="B72" s="237" t="s">
        <v>175</v>
      </c>
      <c r="C72" s="238" t="str">
        <f>CONCATENATE(B48," ",C48)</f>
        <v>2 Základy a zvláštní zakládání</v>
      </c>
      <c r="D72" s="239"/>
      <c r="E72" s="240"/>
      <c r="F72" s="241"/>
      <c r="G72" s="242">
        <f>SUM(G48:G71)</f>
        <v>0</v>
      </c>
      <c r="O72" s="268">
        <v>4</v>
      </c>
      <c r="BA72" s="269">
        <f>SUM(BA48:BA71)</f>
        <v>0</v>
      </c>
      <c r="BB72" s="269">
        <f>SUM(BB48:BB71)</f>
        <v>0</v>
      </c>
      <c r="BC72" s="269">
        <f>SUM(BC48:BC71)</f>
        <v>0</v>
      </c>
      <c r="BD72" s="269">
        <f>SUM(BD48:BD71)</f>
        <v>0</v>
      </c>
      <c r="BE72" s="269">
        <f>SUM(BE48:BE71)</f>
        <v>0</v>
      </c>
    </row>
    <row r="73" spans="1:15" ht="12.75">
      <c r="A73" s="207" t="s">
        <v>140</v>
      </c>
      <c r="B73" s="208" t="s">
        <v>188</v>
      </c>
      <c r="C73" s="209" t="s">
        <v>189</v>
      </c>
      <c r="D73" s="210"/>
      <c r="E73" s="211"/>
      <c r="F73" s="211"/>
      <c r="G73" s="212"/>
      <c r="H73" s="267"/>
      <c r="I73" s="267"/>
      <c r="O73" s="268">
        <v>1</v>
      </c>
    </row>
    <row r="74" spans="1:104" ht="20.4">
      <c r="A74" s="218">
        <v>19</v>
      </c>
      <c r="B74" s="219" t="s">
        <v>190</v>
      </c>
      <c r="C74" s="220" t="s">
        <v>191</v>
      </c>
      <c r="D74" s="221" t="s">
        <v>145</v>
      </c>
      <c r="E74" s="222">
        <v>4.087</v>
      </c>
      <c r="F74" s="222">
        <v>0</v>
      </c>
      <c r="G74" s="223">
        <f>E74*F74</f>
        <v>0</v>
      </c>
      <c r="O74" s="268">
        <v>2</v>
      </c>
      <c r="AA74" s="266">
        <v>1</v>
      </c>
      <c r="AB74" s="266">
        <v>1</v>
      </c>
      <c r="AC74" s="266">
        <v>1</v>
      </c>
      <c r="AZ74" s="266">
        <v>1</v>
      </c>
      <c r="BA74" s="266">
        <f>IF(AZ74=1,G74,0)</f>
        <v>0</v>
      </c>
      <c r="BB74" s="266">
        <f>IF(AZ74=2,G74,0)</f>
        <v>0</v>
      </c>
      <c r="BC74" s="266">
        <f>IF(AZ74=3,G74,0)</f>
        <v>0</v>
      </c>
      <c r="BD74" s="266">
        <f>IF(AZ74=4,G74,0)</f>
        <v>0</v>
      </c>
      <c r="BE74" s="266">
        <f>IF(AZ74=5,G74,0)</f>
        <v>0</v>
      </c>
      <c r="CA74" s="268">
        <v>1</v>
      </c>
      <c r="CB74" s="268">
        <v>1</v>
      </c>
      <c r="CZ74" s="266">
        <v>0.30875</v>
      </c>
    </row>
    <row r="75" spans="1:15" ht="12.75">
      <c r="A75" s="226"/>
      <c r="B75" s="227"/>
      <c r="C75" s="1588" t="s">
        <v>1223</v>
      </c>
      <c r="D75" s="1589"/>
      <c r="E75" s="228">
        <v>2.44</v>
      </c>
      <c r="F75" s="229"/>
      <c r="G75" s="230"/>
      <c r="M75" s="234" t="s">
        <v>1223</v>
      </c>
      <c r="O75" s="268"/>
    </row>
    <row r="76" spans="1:15" ht="12.75">
      <c r="A76" s="226"/>
      <c r="B76" s="227"/>
      <c r="C76" s="1588" t="s">
        <v>1224</v>
      </c>
      <c r="D76" s="1589"/>
      <c r="E76" s="228">
        <v>1.647</v>
      </c>
      <c r="F76" s="229"/>
      <c r="G76" s="230"/>
      <c r="M76" s="234" t="s">
        <v>1224</v>
      </c>
      <c r="O76" s="268"/>
    </row>
    <row r="77" spans="1:104" ht="20.4">
      <c r="A77" s="218">
        <v>20</v>
      </c>
      <c r="B77" s="219" t="s">
        <v>1225</v>
      </c>
      <c r="C77" s="220" t="s">
        <v>1226</v>
      </c>
      <c r="D77" s="221" t="s">
        <v>145</v>
      </c>
      <c r="E77" s="222">
        <v>6.16</v>
      </c>
      <c r="F77" s="222">
        <v>0</v>
      </c>
      <c r="G77" s="223">
        <f>E77*F77</f>
        <v>0</v>
      </c>
      <c r="O77" s="268">
        <v>2</v>
      </c>
      <c r="AA77" s="266">
        <v>1</v>
      </c>
      <c r="AB77" s="266">
        <v>0</v>
      </c>
      <c r="AC77" s="266">
        <v>0</v>
      </c>
      <c r="AZ77" s="266">
        <v>1</v>
      </c>
      <c r="BA77" s="266">
        <f>IF(AZ77=1,G77,0)</f>
        <v>0</v>
      </c>
      <c r="BB77" s="266">
        <f>IF(AZ77=2,G77,0)</f>
        <v>0</v>
      </c>
      <c r="BC77" s="266">
        <f>IF(AZ77=3,G77,0)</f>
        <v>0</v>
      </c>
      <c r="BD77" s="266">
        <f>IF(AZ77=4,G77,0)</f>
        <v>0</v>
      </c>
      <c r="BE77" s="266">
        <f>IF(AZ77=5,G77,0)</f>
        <v>0</v>
      </c>
      <c r="CA77" s="268">
        <v>1</v>
      </c>
      <c r="CB77" s="268">
        <v>0</v>
      </c>
      <c r="CZ77" s="266">
        <v>0.77123</v>
      </c>
    </row>
    <row r="78" spans="1:15" ht="12.75">
      <c r="A78" s="226"/>
      <c r="B78" s="227"/>
      <c r="C78" s="1588" t="s">
        <v>1227</v>
      </c>
      <c r="D78" s="1589"/>
      <c r="E78" s="228">
        <v>6.16</v>
      </c>
      <c r="F78" s="229"/>
      <c r="G78" s="230"/>
      <c r="M78" s="234" t="s">
        <v>1227</v>
      </c>
      <c r="O78" s="268"/>
    </row>
    <row r="79" spans="1:104" ht="20.4">
      <c r="A79" s="218">
        <v>21</v>
      </c>
      <c r="B79" s="219" t="s">
        <v>544</v>
      </c>
      <c r="C79" s="220" t="s">
        <v>1228</v>
      </c>
      <c r="D79" s="221" t="s">
        <v>546</v>
      </c>
      <c r="E79" s="222">
        <v>-9.47</v>
      </c>
      <c r="F79" s="222">
        <v>0</v>
      </c>
      <c r="G79" s="223">
        <f>E79*F79</f>
        <v>0</v>
      </c>
      <c r="O79" s="268">
        <v>2</v>
      </c>
      <c r="AA79" s="266">
        <v>1</v>
      </c>
      <c r="AB79" s="266">
        <v>1</v>
      </c>
      <c r="AC79" s="266">
        <v>1</v>
      </c>
      <c r="AZ79" s="266">
        <v>1</v>
      </c>
      <c r="BA79" s="266">
        <f>IF(AZ79=1,G79,0)</f>
        <v>0</v>
      </c>
      <c r="BB79" s="266">
        <f>IF(AZ79=2,G79,0)</f>
        <v>0</v>
      </c>
      <c r="BC79" s="266">
        <f>IF(AZ79=3,G79,0)</f>
        <v>0</v>
      </c>
      <c r="BD79" s="266">
        <f>IF(AZ79=4,G79,0)</f>
        <v>0</v>
      </c>
      <c r="BE79" s="266">
        <f>IF(AZ79=5,G79,0)</f>
        <v>0</v>
      </c>
      <c r="CA79" s="268">
        <v>1</v>
      </c>
      <c r="CB79" s="268">
        <v>1</v>
      </c>
      <c r="CZ79" s="266">
        <v>0.16622</v>
      </c>
    </row>
    <row r="80" spans="1:15" ht="12.75">
      <c r="A80" s="226"/>
      <c r="B80" s="227"/>
      <c r="C80" s="1588" t="s">
        <v>1229</v>
      </c>
      <c r="D80" s="1589"/>
      <c r="E80" s="228">
        <v>77</v>
      </c>
      <c r="F80" s="229"/>
      <c r="G80" s="230"/>
      <c r="M80" s="234" t="s">
        <v>1229</v>
      </c>
      <c r="O80" s="268"/>
    </row>
    <row r="81" spans="1:15" ht="12.75">
      <c r="A81" s="226"/>
      <c r="B81" s="227"/>
      <c r="C81" s="1588" t="s">
        <v>1230</v>
      </c>
      <c r="D81" s="1589"/>
      <c r="E81" s="228">
        <v>-8.2</v>
      </c>
      <c r="F81" s="229"/>
      <c r="G81" s="230"/>
      <c r="M81" s="234" t="s">
        <v>1230</v>
      </c>
      <c r="O81" s="268"/>
    </row>
    <row r="82" spans="1:15" ht="12.75">
      <c r="A82" s="226"/>
      <c r="B82" s="227"/>
      <c r="C82" s="1588" t="s">
        <v>1231</v>
      </c>
      <c r="D82" s="1589"/>
      <c r="E82" s="228">
        <v>-1.2</v>
      </c>
      <c r="F82" s="229"/>
      <c r="G82" s="230"/>
      <c r="M82" s="234" t="s">
        <v>1231</v>
      </c>
      <c r="O82" s="268"/>
    </row>
    <row r="83" spans="1:15" ht="12.75">
      <c r="A83" s="226"/>
      <c r="B83" s="227"/>
      <c r="C83" s="1588" t="s">
        <v>1232</v>
      </c>
      <c r="D83" s="1589"/>
      <c r="E83" s="228">
        <v>-10.455</v>
      </c>
      <c r="F83" s="229"/>
      <c r="G83" s="230"/>
      <c r="M83" s="234" t="s">
        <v>1232</v>
      </c>
      <c r="O83" s="268"/>
    </row>
    <row r="84" spans="1:15" ht="12.75">
      <c r="A84" s="226"/>
      <c r="B84" s="227"/>
      <c r="C84" s="1588" t="s">
        <v>1233</v>
      </c>
      <c r="D84" s="1589"/>
      <c r="E84" s="228">
        <v>-2.255</v>
      </c>
      <c r="F84" s="229"/>
      <c r="G84" s="230"/>
      <c r="M84" s="234" t="s">
        <v>1233</v>
      </c>
      <c r="O84" s="268"/>
    </row>
    <row r="85" spans="1:15" ht="12.75">
      <c r="A85" s="226"/>
      <c r="B85" s="227"/>
      <c r="C85" s="1588" t="s">
        <v>1234</v>
      </c>
      <c r="D85" s="1589"/>
      <c r="E85" s="228">
        <v>-64.36</v>
      </c>
      <c r="F85" s="229"/>
      <c r="G85" s="230"/>
      <c r="M85" s="234" t="s">
        <v>1234</v>
      </c>
      <c r="O85" s="268"/>
    </row>
    <row r="86" spans="1:104" ht="20.4">
      <c r="A86" s="218">
        <v>22</v>
      </c>
      <c r="B86" s="219" t="s">
        <v>551</v>
      </c>
      <c r="C86" s="220" t="s">
        <v>552</v>
      </c>
      <c r="D86" s="221" t="s">
        <v>196</v>
      </c>
      <c r="E86" s="222">
        <v>9</v>
      </c>
      <c r="F86" s="222">
        <v>0</v>
      </c>
      <c r="G86" s="223">
        <f>E86*F86</f>
        <v>0</v>
      </c>
      <c r="O86" s="268">
        <v>2</v>
      </c>
      <c r="AA86" s="266">
        <v>1</v>
      </c>
      <c r="AB86" s="266">
        <v>1</v>
      </c>
      <c r="AC86" s="266">
        <v>1</v>
      </c>
      <c r="AZ86" s="266">
        <v>1</v>
      </c>
      <c r="BA86" s="266">
        <f>IF(AZ86=1,G86,0)</f>
        <v>0</v>
      </c>
      <c r="BB86" s="266">
        <f>IF(AZ86=2,G86,0)</f>
        <v>0</v>
      </c>
      <c r="BC86" s="266">
        <f>IF(AZ86=3,G86,0)</f>
        <v>0</v>
      </c>
      <c r="BD86" s="266">
        <f>IF(AZ86=4,G86,0)</f>
        <v>0</v>
      </c>
      <c r="BE86" s="266">
        <f>IF(AZ86=5,G86,0)</f>
        <v>0</v>
      </c>
      <c r="CA86" s="268">
        <v>1</v>
      </c>
      <c r="CB86" s="268">
        <v>1</v>
      </c>
      <c r="CZ86" s="266">
        <v>0.06935</v>
      </c>
    </row>
    <row r="87" spans="1:15" ht="12.75">
      <c r="A87" s="226"/>
      <c r="B87" s="227"/>
      <c r="C87" s="1588" t="s">
        <v>1235</v>
      </c>
      <c r="D87" s="1589"/>
      <c r="E87" s="228">
        <v>4</v>
      </c>
      <c r="F87" s="229"/>
      <c r="G87" s="230"/>
      <c r="M87" s="234" t="s">
        <v>1235</v>
      </c>
      <c r="O87" s="268"/>
    </row>
    <row r="88" spans="1:15" ht="12.75">
      <c r="A88" s="226"/>
      <c r="B88" s="227"/>
      <c r="C88" s="1588" t="s">
        <v>1236</v>
      </c>
      <c r="D88" s="1589"/>
      <c r="E88" s="228">
        <v>8</v>
      </c>
      <c r="F88" s="229"/>
      <c r="G88" s="230"/>
      <c r="M88" s="234" t="s">
        <v>1236</v>
      </c>
      <c r="O88" s="268"/>
    </row>
    <row r="89" spans="1:15" ht="12.75">
      <c r="A89" s="226"/>
      <c r="B89" s="227"/>
      <c r="C89" s="1588" t="s">
        <v>1237</v>
      </c>
      <c r="D89" s="1589"/>
      <c r="E89" s="228">
        <v>-3</v>
      </c>
      <c r="F89" s="229"/>
      <c r="G89" s="230"/>
      <c r="M89" s="234">
        <v>-3</v>
      </c>
      <c r="O89" s="268"/>
    </row>
    <row r="90" spans="1:104" ht="20.4">
      <c r="A90" s="218">
        <v>23</v>
      </c>
      <c r="B90" s="219" t="s">
        <v>554</v>
      </c>
      <c r="C90" s="220" t="s">
        <v>555</v>
      </c>
      <c r="D90" s="221" t="s">
        <v>196</v>
      </c>
      <c r="E90" s="222">
        <v>-4</v>
      </c>
      <c r="F90" s="222">
        <v>0</v>
      </c>
      <c r="G90" s="223">
        <f>E90*F90</f>
        <v>0</v>
      </c>
      <c r="O90" s="268">
        <v>2</v>
      </c>
      <c r="AA90" s="266">
        <v>1</v>
      </c>
      <c r="AB90" s="266">
        <v>1</v>
      </c>
      <c r="AC90" s="266">
        <v>1</v>
      </c>
      <c r="AZ90" s="266">
        <v>1</v>
      </c>
      <c r="BA90" s="266">
        <f>IF(AZ90=1,G90,0)</f>
        <v>0</v>
      </c>
      <c r="BB90" s="266">
        <f>IF(AZ90=2,G90,0)</f>
        <v>0</v>
      </c>
      <c r="BC90" s="266">
        <f>IF(AZ90=3,G90,0)</f>
        <v>0</v>
      </c>
      <c r="BD90" s="266">
        <f>IF(AZ90=4,G90,0)</f>
        <v>0</v>
      </c>
      <c r="BE90" s="266">
        <f>IF(AZ90=5,G90,0)</f>
        <v>0</v>
      </c>
      <c r="CA90" s="268">
        <v>1</v>
      </c>
      <c r="CB90" s="268">
        <v>1</v>
      </c>
      <c r="CZ90" s="266">
        <v>0.07945</v>
      </c>
    </row>
    <row r="91" spans="1:15" ht="12.75">
      <c r="A91" s="226"/>
      <c r="B91" s="227"/>
      <c r="C91" s="1588" t="s">
        <v>1238</v>
      </c>
      <c r="D91" s="1589"/>
      <c r="E91" s="228">
        <v>2</v>
      </c>
      <c r="F91" s="229"/>
      <c r="G91" s="230"/>
      <c r="M91" s="234" t="s">
        <v>1238</v>
      </c>
      <c r="O91" s="268"/>
    </row>
    <row r="92" spans="1:15" ht="12.75">
      <c r="A92" s="226"/>
      <c r="B92" s="227"/>
      <c r="C92" s="1588" t="s">
        <v>1239</v>
      </c>
      <c r="D92" s="1589"/>
      <c r="E92" s="228">
        <v>-6</v>
      </c>
      <c r="F92" s="229"/>
      <c r="G92" s="230"/>
      <c r="M92" s="234">
        <v>-6</v>
      </c>
      <c r="O92" s="268"/>
    </row>
    <row r="93" spans="1:104" ht="20.4">
      <c r="A93" s="218">
        <v>24</v>
      </c>
      <c r="B93" s="219" t="s">
        <v>557</v>
      </c>
      <c r="C93" s="220" t="s">
        <v>1240</v>
      </c>
      <c r="D93" s="221" t="s">
        <v>145</v>
      </c>
      <c r="E93" s="222">
        <v>11.01</v>
      </c>
      <c r="F93" s="222">
        <v>0</v>
      </c>
      <c r="G93" s="223">
        <f>E93*F93</f>
        <v>0</v>
      </c>
      <c r="O93" s="268">
        <v>2</v>
      </c>
      <c r="AA93" s="266">
        <v>1</v>
      </c>
      <c r="AB93" s="266">
        <v>1</v>
      </c>
      <c r="AC93" s="266">
        <v>1</v>
      </c>
      <c r="AZ93" s="266">
        <v>1</v>
      </c>
      <c r="BA93" s="266">
        <f>IF(AZ93=1,G93,0)</f>
        <v>0</v>
      </c>
      <c r="BB93" s="266">
        <f>IF(AZ93=2,G93,0)</f>
        <v>0</v>
      </c>
      <c r="BC93" s="266">
        <f>IF(AZ93=3,G93,0)</f>
        <v>0</v>
      </c>
      <c r="BD93" s="266">
        <f>IF(AZ93=4,G93,0)</f>
        <v>0</v>
      </c>
      <c r="BE93" s="266">
        <f>IF(AZ93=5,G93,0)</f>
        <v>0</v>
      </c>
      <c r="CA93" s="268">
        <v>1</v>
      </c>
      <c r="CB93" s="268">
        <v>1</v>
      </c>
      <c r="CZ93" s="266">
        <v>0.0706</v>
      </c>
    </row>
    <row r="94" spans="1:15" ht="12.75">
      <c r="A94" s="226"/>
      <c r="B94" s="227"/>
      <c r="C94" s="1588" t="s">
        <v>1241</v>
      </c>
      <c r="D94" s="1589"/>
      <c r="E94" s="228">
        <v>0</v>
      </c>
      <c r="F94" s="229"/>
      <c r="G94" s="230"/>
      <c r="M94" s="234" t="s">
        <v>1241</v>
      </c>
      <c r="O94" s="268"/>
    </row>
    <row r="95" spans="1:15" ht="12.75">
      <c r="A95" s="226"/>
      <c r="B95" s="227"/>
      <c r="C95" s="1588" t="s">
        <v>1242</v>
      </c>
      <c r="D95" s="1589"/>
      <c r="E95" s="228">
        <v>6.02</v>
      </c>
      <c r="F95" s="229"/>
      <c r="G95" s="230"/>
      <c r="M95" s="234" t="s">
        <v>1242</v>
      </c>
      <c r="O95" s="268"/>
    </row>
    <row r="96" spans="1:15" ht="12.75">
      <c r="A96" s="226"/>
      <c r="B96" s="227"/>
      <c r="C96" s="1588" t="s">
        <v>1243</v>
      </c>
      <c r="D96" s="1589"/>
      <c r="E96" s="228">
        <v>5.04</v>
      </c>
      <c r="F96" s="229"/>
      <c r="G96" s="230"/>
      <c r="M96" s="234" t="s">
        <v>1243</v>
      </c>
      <c r="O96" s="268"/>
    </row>
    <row r="97" spans="1:15" ht="12.75">
      <c r="A97" s="226"/>
      <c r="B97" s="227"/>
      <c r="C97" s="1588" t="s">
        <v>1244</v>
      </c>
      <c r="D97" s="1589"/>
      <c r="E97" s="228">
        <v>4.9</v>
      </c>
      <c r="F97" s="229"/>
      <c r="G97" s="230"/>
      <c r="M97" s="234" t="s">
        <v>1244</v>
      </c>
      <c r="O97" s="268"/>
    </row>
    <row r="98" spans="1:15" ht="12.75">
      <c r="A98" s="226"/>
      <c r="B98" s="227"/>
      <c r="C98" s="1588" t="s">
        <v>1245</v>
      </c>
      <c r="D98" s="1589"/>
      <c r="E98" s="228">
        <v>-4.95</v>
      </c>
      <c r="F98" s="229"/>
      <c r="G98" s="230"/>
      <c r="M98" s="234" t="s">
        <v>1245</v>
      </c>
      <c r="O98" s="268"/>
    </row>
    <row r="99" spans="1:104" ht="20.4">
      <c r="A99" s="218">
        <v>25</v>
      </c>
      <c r="B99" s="219" t="s">
        <v>560</v>
      </c>
      <c r="C99" s="220" t="s">
        <v>1246</v>
      </c>
      <c r="D99" s="221" t="s">
        <v>145</v>
      </c>
      <c r="E99" s="222">
        <v>0.65</v>
      </c>
      <c r="F99" s="222">
        <v>0</v>
      </c>
      <c r="G99" s="223">
        <f>E99*F99</f>
        <v>0</v>
      </c>
      <c r="O99" s="268">
        <v>2</v>
      </c>
      <c r="AA99" s="266">
        <v>1</v>
      </c>
      <c r="AB99" s="266">
        <v>1</v>
      </c>
      <c r="AC99" s="266">
        <v>1</v>
      </c>
      <c r="AZ99" s="266">
        <v>1</v>
      </c>
      <c r="BA99" s="266">
        <f>IF(AZ99=1,G99,0)</f>
        <v>0</v>
      </c>
      <c r="BB99" s="266">
        <f>IF(AZ99=2,G99,0)</f>
        <v>0</v>
      </c>
      <c r="BC99" s="266">
        <f>IF(AZ99=3,G99,0)</f>
        <v>0</v>
      </c>
      <c r="BD99" s="266">
        <f>IF(AZ99=4,G99,0)</f>
        <v>0</v>
      </c>
      <c r="BE99" s="266">
        <f>IF(AZ99=5,G99,0)</f>
        <v>0</v>
      </c>
      <c r="CA99" s="268">
        <v>1</v>
      </c>
      <c r="CB99" s="268">
        <v>1</v>
      </c>
      <c r="CZ99" s="266">
        <v>0.1055</v>
      </c>
    </row>
    <row r="100" spans="1:15" ht="12.75">
      <c r="A100" s="226"/>
      <c r="B100" s="227"/>
      <c r="C100" s="1588" t="s">
        <v>1247</v>
      </c>
      <c r="D100" s="1589"/>
      <c r="E100" s="228">
        <v>0</v>
      </c>
      <c r="F100" s="229"/>
      <c r="G100" s="230"/>
      <c r="M100" s="234" t="s">
        <v>1247</v>
      </c>
      <c r="O100" s="268"/>
    </row>
    <row r="101" spans="1:15" ht="12.75">
      <c r="A101" s="226"/>
      <c r="B101" s="227"/>
      <c r="C101" s="1588" t="s">
        <v>1248</v>
      </c>
      <c r="D101" s="1589"/>
      <c r="E101" s="228">
        <v>6.02</v>
      </c>
      <c r="F101" s="229"/>
      <c r="G101" s="230"/>
      <c r="M101" s="234" t="s">
        <v>1248</v>
      </c>
      <c r="O101" s="268"/>
    </row>
    <row r="102" spans="1:15" ht="12.75">
      <c r="A102" s="226"/>
      <c r="B102" s="227"/>
      <c r="C102" s="1588" t="s">
        <v>1249</v>
      </c>
      <c r="D102" s="1589"/>
      <c r="E102" s="228">
        <v>6.02</v>
      </c>
      <c r="F102" s="229"/>
      <c r="G102" s="230"/>
      <c r="M102" s="234" t="s">
        <v>1249</v>
      </c>
      <c r="O102" s="268"/>
    </row>
    <row r="103" spans="1:15" ht="12.75">
      <c r="A103" s="226"/>
      <c r="B103" s="227"/>
      <c r="C103" s="1588" t="s">
        <v>1250</v>
      </c>
      <c r="D103" s="1589"/>
      <c r="E103" s="228">
        <v>8.12</v>
      </c>
      <c r="F103" s="229"/>
      <c r="G103" s="230"/>
      <c r="M103" s="234" t="s">
        <v>1250</v>
      </c>
      <c r="O103" s="268"/>
    </row>
    <row r="104" spans="1:15" ht="12.75">
      <c r="A104" s="226"/>
      <c r="B104" s="227"/>
      <c r="C104" s="1588" t="s">
        <v>1251</v>
      </c>
      <c r="D104" s="1589"/>
      <c r="E104" s="228">
        <v>9.24</v>
      </c>
      <c r="F104" s="229"/>
      <c r="G104" s="230"/>
      <c r="M104" s="234" t="s">
        <v>1251</v>
      </c>
      <c r="O104" s="268"/>
    </row>
    <row r="105" spans="1:15" ht="12.75">
      <c r="A105" s="226"/>
      <c r="B105" s="227"/>
      <c r="C105" s="1588" t="s">
        <v>1252</v>
      </c>
      <c r="D105" s="1589"/>
      <c r="E105" s="228">
        <v>-28.75</v>
      </c>
      <c r="F105" s="229"/>
      <c r="G105" s="230"/>
      <c r="M105" s="234" t="s">
        <v>1252</v>
      </c>
      <c r="O105" s="268"/>
    </row>
    <row r="106" spans="1:104" ht="12.75">
      <c r="A106" s="218">
        <v>26</v>
      </c>
      <c r="B106" s="219" t="s">
        <v>194</v>
      </c>
      <c r="C106" s="220" t="s">
        <v>195</v>
      </c>
      <c r="D106" s="221" t="s">
        <v>196</v>
      </c>
      <c r="E106" s="222">
        <v>38</v>
      </c>
      <c r="F106" s="222">
        <v>0</v>
      </c>
      <c r="G106" s="223">
        <f>E106*F106</f>
        <v>0</v>
      </c>
      <c r="O106" s="268">
        <v>2</v>
      </c>
      <c r="AA106" s="266">
        <v>3</v>
      </c>
      <c r="AB106" s="266">
        <v>1</v>
      </c>
      <c r="AC106" s="266">
        <v>595133233</v>
      </c>
      <c r="AZ106" s="266">
        <v>1</v>
      </c>
      <c r="BA106" s="266">
        <f>IF(AZ106=1,G106,0)</f>
        <v>0</v>
      </c>
      <c r="BB106" s="266">
        <f>IF(AZ106=2,G106,0)</f>
        <v>0</v>
      </c>
      <c r="BC106" s="266">
        <f>IF(AZ106=3,G106,0)</f>
        <v>0</v>
      </c>
      <c r="BD106" s="266">
        <f>IF(AZ106=4,G106,0)</f>
        <v>0</v>
      </c>
      <c r="BE106" s="266">
        <f>IF(AZ106=5,G106,0)</f>
        <v>0</v>
      </c>
      <c r="CA106" s="268">
        <v>3</v>
      </c>
      <c r="CB106" s="268">
        <v>1</v>
      </c>
      <c r="CZ106" s="266">
        <v>0.025</v>
      </c>
    </row>
    <row r="107" spans="1:15" ht="12.75">
      <c r="A107" s="226"/>
      <c r="B107" s="227"/>
      <c r="C107" s="1598" t="s">
        <v>197</v>
      </c>
      <c r="D107" s="1589"/>
      <c r="E107" s="246">
        <v>0</v>
      </c>
      <c r="F107" s="229"/>
      <c r="G107" s="230"/>
      <c r="M107" s="234" t="s">
        <v>197</v>
      </c>
      <c r="O107" s="268"/>
    </row>
    <row r="108" spans="1:15" ht="12.75">
      <c r="A108" s="226"/>
      <c r="B108" s="227"/>
      <c r="C108" s="1598" t="s">
        <v>1223</v>
      </c>
      <c r="D108" s="1589"/>
      <c r="E108" s="246">
        <v>2.44</v>
      </c>
      <c r="F108" s="229"/>
      <c r="G108" s="230"/>
      <c r="M108" s="234" t="s">
        <v>1223</v>
      </c>
      <c r="O108" s="268"/>
    </row>
    <row r="109" spans="1:15" ht="12.75">
      <c r="A109" s="226"/>
      <c r="B109" s="227"/>
      <c r="C109" s="1598" t="s">
        <v>1224</v>
      </c>
      <c r="D109" s="1589"/>
      <c r="E109" s="246">
        <v>1.647</v>
      </c>
      <c r="F109" s="229"/>
      <c r="G109" s="230"/>
      <c r="M109" s="234" t="s">
        <v>1224</v>
      </c>
      <c r="O109" s="268"/>
    </row>
    <row r="110" spans="1:15" ht="12.75">
      <c r="A110" s="226"/>
      <c r="B110" s="227"/>
      <c r="C110" s="1598" t="s">
        <v>1253</v>
      </c>
      <c r="D110" s="1589"/>
      <c r="E110" s="246">
        <v>32.696</v>
      </c>
      <c r="F110" s="229"/>
      <c r="G110" s="230"/>
      <c r="M110" s="234" t="s">
        <v>1253</v>
      </c>
      <c r="O110" s="268"/>
    </row>
    <row r="111" spans="1:15" ht="12.75">
      <c r="A111" s="226"/>
      <c r="B111" s="227"/>
      <c r="C111" s="1598" t="s">
        <v>199</v>
      </c>
      <c r="D111" s="1589"/>
      <c r="E111" s="246">
        <v>36.783</v>
      </c>
      <c r="F111" s="229"/>
      <c r="G111" s="230"/>
      <c r="M111" s="234" t="s">
        <v>199</v>
      </c>
      <c r="O111" s="268"/>
    </row>
    <row r="112" spans="1:15" ht="12.75">
      <c r="A112" s="226"/>
      <c r="B112" s="227"/>
      <c r="C112" s="1588" t="s">
        <v>1254</v>
      </c>
      <c r="D112" s="1589"/>
      <c r="E112" s="228">
        <v>38</v>
      </c>
      <c r="F112" s="229"/>
      <c r="G112" s="230"/>
      <c r="M112" s="234">
        <v>38</v>
      </c>
      <c r="O112" s="268"/>
    </row>
    <row r="113" spans="1:57" ht="12.75">
      <c r="A113" s="236"/>
      <c r="B113" s="237" t="s">
        <v>175</v>
      </c>
      <c r="C113" s="238" t="str">
        <f>CONCATENATE(B73," ",C73)</f>
        <v>3 Svislé a kompletní konstrukce</v>
      </c>
      <c r="D113" s="239"/>
      <c r="E113" s="240"/>
      <c r="F113" s="241"/>
      <c r="G113" s="242">
        <f>SUM(G73:G112)</f>
        <v>0</v>
      </c>
      <c r="O113" s="268">
        <v>4</v>
      </c>
      <c r="BA113" s="269">
        <f>SUM(BA73:BA112)</f>
        <v>0</v>
      </c>
      <c r="BB113" s="269">
        <f>SUM(BB73:BB112)</f>
        <v>0</v>
      </c>
      <c r="BC113" s="269">
        <f>SUM(BC73:BC112)</f>
        <v>0</v>
      </c>
      <c r="BD113" s="269">
        <f>SUM(BD73:BD112)</f>
        <v>0</v>
      </c>
      <c r="BE113" s="269">
        <f>SUM(BE73:BE112)</f>
        <v>0</v>
      </c>
    </row>
    <row r="114" spans="1:15" ht="12.75">
      <c r="A114" s="207" t="s">
        <v>140</v>
      </c>
      <c r="B114" s="208" t="s">
        <v>463</v>
      </c>
      <c r="C114" s="209" t="s">
        <v>563</v>
      </c>
      <c r="D114" s="210"/>
      <c r="E114" s="211"/>
      <c r="F114" s="211"/>
      <c r="G114" s="212"/>
      <c r="H114" s="267"/>
      <c r="I114" s="267"/>
      <c r="O114" s="268">
        <v>1</v>
      </c>
    </row>
    <row r="115" spans="1:104" ht="12.75">
      <c r="A115" s="218">
        <v>27</v>
      </c>
      <c r="B115" s="219" t="s">
        <v>564</v>
      </c>
      <c r="C115" s="220" t="s">
        <v>565</v>
      </c>
      <c r="D115" s="221" t="s">
        <v>145</v>
      </c>
      <c r="E115" s="222">
        <v>0.26</v>
      </c>
      <c r="F115" s="222">
        <v>0</v>
      </c>
      <c r="G115" s="223">
        <f>E115*F115</f>
        <v>0</v>
      </c>
      <c r="O115" s="268">
        <v>2</v>
      </c>
      <c r="AA115" s="266">
        <v>1</v>
      </c>
      <c r="AB115" s="266">
        <v>1</v>
      </c>
      <c r="AC115" s="266">
        <v>1</v>
      </c>
      <c r="AZ115" s="266">
        <v>1</v>
      </c>
      <c r="BA115" s="266">
        <f>IF(AZ115=1,G115,0)</f>
        <v>0</v>
      </c>
      <c r="BB115" s="266">
        <f>IF(AZ115=2,G115,0)</f>
        <v>0</v>
      </c>
      <c r="BC115" s="266">
        <f>IF(AZ115=3,G115,0)</f>
        <v>0</v>
      </c>
      <c r="BD115" s="266">
        <f>IF(AZ115=4,G115,0)</f>
        <v>0</v>
      </c>
      <c r="BE115" s="266">
        <f>IF(AZ115=5,G115,0)</f>
        <v>0</v>
      </c>
      <c r="CA115" s="268">
        <v>1</v>
      </c>
      <c r="CB115" s="268">
        <v>1</v>
      </c>
      <c r="CZ115" s="266">
        <v>0.0112</v>
      </c>
    </row>
    <row r="116" spans="1:15" ht="12.75">
      <c r="A116" s="226"/>
      <c r="B116" s="227"/>
      <c r="C116" s="1588" t="s">
        <v>683</v>
      </c>
      <c r="D116" s="1589"/>
      <c r="E116" s="228">
        <v>0</v>
      </c>
      <c r="F116" s="229"/>
      <c r="G116" s="230"/>
      <c r="M116" s="234" t="s">
        <v>683</v>
      </c>
      <c r="O116" s="268"/>
    </row>
    <row r="117" spans="1:15" ht="12.75">
      <c r="A117" s="226"/>
      <c r="B117" s="227"/>
      <c r="C117" s="1588" t="s">
        <v>1255</v>
      </c>
      <c r="D117" s="1589"/>
      <c r="E117" s="228">
        <v>11.44</v>
      </c>
      <c r="F117" s="229"/>
      <c r="G117" s="230"/>
      <c r="M117" s="234" t="s">
        <v>1255</v>
      </c>
      <c r="O117" s="268"/>
    </row>
    <row r="118" spans="1:15" ht="12.75">
      <c r="A118" s="226"/>
      <c r="B118" s="227"/>
      <c r="C118" s="1588" t="s">
        <v>1256</v>
      </c>
      <c r="D118" s="1589"/>
      <c r="E118" s="228">
        <v>-11.18</v>
      </c>
      <c r="F118" s="229"/>
      <c r="G118" s="230"/>
      <c r="M118" s="234" t="s">
        <v>1256</v>
      </c>
      <c r="O118" s="268"/>
    </row>
    <row r="119" spans="1:104" ht="12.75">
      <c r="A119" s="218">
        <v>28</v>
      </c>
      <c r="B119" s="219" t="s">
        <v>568</v>
      </c>
      <c r="C119" s="220" t="s">
        <v>569</v>
      </c>
      <c r="D119" s="221" t="s">
        <v>145</v>
      </c>
      <c r="E119" s="222">
        <v>0.1</v>
      </c>
      <c r="F119" s="222">
        <v>0</v>
      </c>
      <c r="G119" s="223">
        <f>E119*F119</f>
        <v>0</v>
      </c>
      <c r="O119" s="268">
        <v>2</v>
      </c>
      <c r="AA119" s="266">
        <v>1</v>
      </c>
      <c r="AB119" s="266">
        <v>1</v>
      </c>
      <c r="AC119" s="266">
        <v>1</v>
      </c>
      <c r="AZ119" s="266">
        <v>1</v>
      </c>
      <c r="BA119" s="266">
        <f>IF(AZ119=1,G119,0)</f>
        <v>0</v>
      </c>
      <c r="BB119" s="266">
        <f>IF(AZ119=2,G119,0)</f>
        <v>0</v>
      </c>
      <c r="BC119" s="266">
        <f>IF(AZ119=3,G119,0)</f>
        <v>0</v>
      </c>
      <c r="BD119" s="266">
        <f>IF(AZ119=4,G119,0)</f>
        <v>0</v>
      </c>
      <c r="BE119" s="266">
        <f>IF(AZ119=5,G119,0)</f>
        <v>0</v>
      </c>
      <c r="CA119" s="268">
        <v>1</v>
      </c>
      <c r="CB119" s="268">
        <v>1</v>
      </c>
      <c r="CZ119" s="266">
        <v>0.01131</v>
      </c>
    </row>
    <row r="120" spans="1:15" ht="12.75">
      <c r="A120" s="226"/>
      <c r="B120" s="227"/>
      <c r="C120" s="1588" t="s">
        <v>683</v>
      </c>
      <c r="D120" s="1589"/>
      <c r="E120" s="228">
        <v>0</v>
      </c>
      <c r="F120" s="229"/>
      <c r="G120" s="230"/>
      <c r="M120" s="234" t="s">
        <v>683</v>
      </c>
      <c r="O120" s="268"/>
    </row>
    <row r="121" spans="1:15" ht="12.75">
      <c r="A121" s="226"/>
      <c r="B121" s="227"/>
      <c r="C121" s="1588" t="s">
        <v>1257</v>
      </c>
      <c r="D121" s="1589"/>
      <c r="E121" s="228">
        <v>3.85</v>
      </c>
      <c r="F121" s="229"/>
      <c r="G121" s="230"/>
      <c r="M121" s="234" t="s">
        <v>1257</v>
      </c>
      <c r="O121" s="268"/>
    </row>
    <row r="122" spans="1:15" ht="12.75">
      <c r="A122" s="226"/>
      <c r="B122" s="227"/>
      <c r="C122" s="1588" t="s">
        <v>1258</v>
      </c>
      <c r="D122" s="1589"/>
      <c r="E122" s="228">
        <v>10.84</v>
      </c>
      <c r="F122" s="229"/>
      <c r="G122" s="230"/>
      <c r="M122" s="234" t="s">
        <v>1258</v>
      </c>
      <c r="O122" s="268"/>
    </row>
    <row r="123" spans="1:15" ht="12.75">
      <c r="A123" s="226"/>
      <c r="B123" s="227"/>
      <c r="C123" s="1588" t="s">
        <v>1259</v>
      </c>
      <c r="D123" s="1589"/>
      <c r="E123" s="228">
        <v>2.36</v>
      </c>
      <c r="F123" s="229"/>
      <c r="G123" s="230"/>
      <c r="M123" s="234" t="s">
        <v>1259</v>
      </c>
      <c r="O123" s="268"/>
    </row>
    <row r="124" spans="1:15" ht="12.75">
      <c r="A124" s="226"/>
      <c r="B124" s="227"/>
      <c r="C124" s="1588" t="s">
        <v>1260</v>
      </c>
      <c r="D124" s="1589"/>
      <c r="E124" s="228">
        <v>3.87</v>
      </c>
      <c r="F124" s="229"/>
      <c r="G124" s="230"/>
      <c r="M124" s="234" t="s">
        <v>1260</v>
      </c>
      <c r="O124" s="268"/>
    </row>
    <row r="125" spans="1:15" ht="12.75">
      <c r="A125" s="226"/>
      <c r="B125" s="227"/>
      <c r="C125" s="1588" t="s">
        <v>1261</v>
      </c>
      <c r="D125" s="1589"/>
      <c r="E125" s="228">
        <v>3.96</v>
      </c>
      <c r="F125" s="229"/>
      <c r="G125" s="230"/>
      <c r="M125" s="234" t="s">
        <v>1261</v>
      </c>
      <c r="O125" s="268"/>
    </row>
    <row r="126" spans="1:15" ht="12.75">
      <c r="A126" s="226"/>
      <c r="B126" s="227"/>
      <c r="C126" s="1588" t="s">
        <v>1262</v>
      </c>
      <c r="D126" s="1589"/>
      <c r="E126" s="228">
        <v>8.59</v>
      </c>
      <c r="F126" s="229"/>
      <c r="G126" s="230"/>
      <c r="M126" s="234" t="s">
        <v>1262</v>
      </c>
      <c r="O126" s="268"/>
    </row>
    <row r="127" spans="1:15" ht="12.75">
      <c r="A127" s="226"/>
      <c r="B127" s="227"/>
      <c r="C127" s="1588" t="s">
        <v>1263</v>
      </c>
      <c r="D127" s="1589"/>
      <c r="E127" s="228">
        <v>-33.37</v>
      </c>
      <c r="F127" s="229"/>
      <c r="G127" s="230"/>
      <c r="M127" s="234" t="s">
        <v>1263</v>
      </c>
      <c r="O127" s="268"/>
    </row>
    <row r="128" spans="1:104" ht="12.75">
      <c r="A128" s="218">
        <v>29</v>
      </c>
      <c r="B128" s="219" t="s">
        <v>575</v>
      </c>
      <c r="C128" s="220" t="s">
        <v>576</v>
      </c>
      <c r="D128" s="221" t="s">
        <v>196</v>
      </c>
      <c r="E128" s="222">
        <v>1</v>
      </c>
      <c r="F128" s="222">
        <v>0</v>
      </c>
      <c r="G128" s="223">
        <f>E128*F128</f>
        <v>0</v>
      </c>
      <c r="O128" s="268">
        <v>2</v>
      </c>
      <c r="AA128" s="266">
        <v>1</v>
      </c>
      <c r="AB128" s="266">
        <v>0</v>
      </c>
      <c r="AC128" s="266">
        <v>0</v>
      </c>
      <c r="AZ128" s="266">
        <v>1</v>
      </c>
      <c r="BA128" s="266">
        <f>IF(AZ128=1,G128,0)</f>
        <v>0</v>
      </c>
      <c r="BB128" s="266">
        <f>IF(AZ128=2,G128,0)</f>
        <v>0</v>
      </c>
      <c r="BC128" s="266">
        <f>IF(AZ128=3,G128,0)</f>
        <v>0</v>
      </c>
      <c r="BD128" s="266">
        <f>IF(AZ128=4,G128,0)</f>
        <v>0</v>
      </c>
      <c r="BE128" s="266">
        <f>IF(AZ128=5,G128,0)</f>
        <v>0</v>
      </c>
      <c r="CA128" s="268">
        <v>1</v>
      </c>
      <c r="CB128" s="268">
        <v>0</v>
      </c>
      <c r="CZ128" s="266">
        <v>0</v>
      </c>
    </row>
    <row r="129" spans="1:15" ht="12.75">
      <c r="A129" s="226"/>
      <c r="B129" s="227"/>
      <c r="C129" s="1588" t="s">
        <v>577</v>
      </c>
      <c r="D129" s="1589"/>
      <c r="E129" s="228">
        <v>1</v>
      </c>
      <c r="F129" s="229"/>
      <c r="G129" s="230"/>
      <c r="M129" s="234" t="s">
        <v>577</v>
      </c>
      <c r="O129" s="268"/>
    </row>
    <row r="130" spans="1:104" ht="12.75">
      <c r="A130" s="218">
        <v>30</v>
      </c>
      <c r="B130" s="219" t="s">
        <v>578</v>
      </c>
      <c r="C130" s="220" t="s">
        <v>579</v>
      </c>
      <c r="D130" s="221" t="s">
        <v>154</v>
      </c>
      <c r="E130" s="222">
        <v>-0.185</v>
      </c>
      <c r="F130" s="222">
        <v>0</v>
      </c>
      <c r="G130" s="223">
        <f>E130*F130</f>
        <v>0</v>
      </c>
      <c r="O130" s="268">
        <v>2</v>
      </c>
      <c r="AA130" s="266">
        <v>1</v>
      </c>
      <c r="AB130" s="266">
        <v>1</v>
      </c>
      <c r="AC130" s="266">
        <v>1</v>
      </c>
      <c r="AZ130" s="266">
        <v>1</v>
      </c>
      <c r="BA130" s="266">
        <f>IF(AZ130=1,G130,0)</f>
        <v>0</v>
      </c>
      <c r="BB130" s="266">
        <f>IF(AZ130=2,G130,0)</f>
        <v>0</v>
      </c>
      <c r="BC130" s="266">
        <f>IF(AZ130=3,G130,0)</f>
        <v>0</v>
      </c>
      <c r="BD130" s="266">
        <f>IF(AZ130=4,G130,0)</f>
        <v>0</v>
      </c>
      <c r="BE130" s="266">
        <f>IF(AZ130=5,G130,0)</f>
        <v>0</v>
      </c>
      <c r="CA130" s="268">
        <v>1</v>
      </c>
      <c r="CB130" s="268">
        <v>1</v>
      </c>
      <c r="CZ130" s="266">
        <v>2.52517</v>
      </c>
    </row>
    <row r="131" spans="1:15" ht="12.75">
      <c r="A131" s="226"/>
      <c r="B131" s="227"/>
      <c r="C131" s="1588" t="s">
        <v>1264</v>
      </c>
      <c r="D131" s="1589"/>
      <c r="E131" s="228">
        <v>2.235</v>
      </c>
      <c r="F131" s="229"/>
      <c r="G131" s="230"/>
      <c r="M131" s="234" t="s">
        <v>1264</v>
      </c>
      <c r="O131" s="268"/>
    </row>
    <row r="132" spans="1:15" ht="12.75">
      <c r="A132" s="226"/>
      <c r="B132" s="227"/>
      <c r="C132" s="1588" t="s">
        <v>1265</v>
      </c>
      <c r="D132" s="1589"/>
      <c r="E132" s="228">
        <v>-2.42</v>
      </c>
      <c r="F132" s="229"/>
      <c r="G132" s="230"/>
      <c r="M132" s="234" t="s">
        <v>1265</v>
      </c>
      <c r="O132" s="268"/>
    </row>
    <row r="133" spans="1:104" ht="12.75">
      <c r="A133" s="218">
        <v>31</v>
      </c>
      <c r="B133" s="219" t="s">
        <v>581</v>
      </c>
      <c r="C133" s="220" t="s">
        <v>582</v>
      </c>
      <c r="D133" s="221" t="s">
        <v>145</v>
      </c>
      <c r="E133" s="222">
        <v>-2.7</v>
      </c>
      <c r="F133" s="222">
        <v>0</v>
      </c>
      <c r="G133" s="223">
        <f>E133*F133</f>
        <v>0</v>
      </c>
      <c r="O133" s="268">
        <v>2</v>
      </c>
      <c r="AA133" s="266">
        <v>1</v>
      </c>
      <c r="AB133" s="266">
        <v>1</v>
      </c>
      <c r="AC133" s="266">
        <v>1</v>
      </c>
      <c r="AZ133" s="266">
        <v>1</v>
      </c>
      <c r="BA133" s="266">
        <f>IF(AZ133=1,G133,0)</f>
        <v>0</v>
      </c>
      <c r="BB133" s="266">
        <f>IF(AZ133=2,G133,0)</f>
        <v>0</v>
      </c>
      <c r="BC133" s="266">
        <f>IF(AZ133=3,G133,0)</f>
        <v>0</v>
      </c>
      <c r="BD133" s="266">
        <f>IF(AZ133=4,G133,0)</f>
        <v>0</v>
      </c>
      <c r="BE133" s="266">
        <f>IF(AZ133=5,G133,0)</f>
        <v>0</v>
      </c>
      <c r="CA133" s="268">
        <v>1</v>
      </c>
      <c r="CB133" s="268">
        <v>1</v>
      </c>
      <c r="CZ133" s="266">
        <v>0.00782</v>
      </c>
    </row>
    <row r="134" spans="1:15" ht="12.75">
      <c r="A134" s="226"/>
      <c r="B134" s="227"/>
      <c r="C134" s="1588" t="s">
        <v>1266</v>
      </c>
      <c r="D134" s="1589"/>
      <c r="E134" s="228">
        <v>15.4</v>
      </c>
      <c r="F134" s="229"/>
      <c r="G134" s="230"/>
      <c r="M134" s="234" t="s">
        <v>1266</v>
      </c>
      <c r="O134" s="268"/>
    </row>
    <row r="135" spans="1:15" ht="12.75">
      <c r="A135" s="226"/>
      <c r="B135" s="227"/>
      <c r="C135" s="1588" t="s">
        <v>1267</v>
      </c>
      <c r="D135" s="1589"/>
      <c r="E135" s="228">
        <v>14.4</v>
      </c>
      <c r="F135" s="229"/>
      <c r="G135" s="230"/>
      <c r="M135" s="234" t="s">
        <v>1267</v>
      </c>
      <c r="O135" s="268"/>
    </row>
    <row r="136" spans="1:15" ht="12.75">
      <c r="A136" s="226"/>
      <c r="B136" s="227"/>
      <c r="C136" s="1588" t="s">
        <v>1268</v>
      </c>
      <c r="D136" s="1589"/>
      <c r="E136" s="228">
        <v>-32.5</v>
      </c>
      <c r="F136" s="229"/>
      <c r="G136" s="230"/>
      <c r="M136" s="234" t="s">
        <v>1268</v>
      </c>
      <c r="O136" s="268"/>
    </row>
    <row r="137" spans="1:104" ht="12.75">
      <c r="A137" s="218">
        <v>32</v>
      </c>
      <c r="B137" s="219" t="s">
        <v>586</v>
      </c>
      <c r="C137" s="220" t="s">
        <v>587</v>
      </c>
      <c r="D137" s="221" t="s">
        <v>145</v>
      </c>
      <c r="E137" s="222">
        <v>-2.7</v>
      </c>
      <c r="F137" s="222">
        <v>0</v>
      </c>
      <c r="G137" s="223">
        <f>E137*F137</f>
        <v>0</v>
      </c>
      <c r="O137" s="268">
        <v>2</v>
      </c>
      <c r="AA137" s="266">
        <v>1</v>
      </c>
      <c r="AB137" s="266">
        <v>1</v>
      </c>
      <c r="AC137" s="266">
        <v>1</v>
      </c>
      <c r="AZ137" s="266">
        <v>1</v>
      </c>
      <c r="BA137" s="266">
        <f>IF(AZ137=1,G137,0)</f>
        <v>0</v>
      </c>
      <c r="BB137" s="266">
        <f>IF(AZ137=2,G137,0)</f>
        <v>0</v>
      </c>
      <c r="BC137" s="266">
        <f>IF(AZ137=3,G137,0)</f>
        <v>0</v>
      </c>
      <c r="BD137" s="266">
        <f>IF(AZ137=4,G137,0)</f>
        <v>0</v>
      </c>
      <c r="BE137" s="266">
        <f>IF(AZ137=5,G137,0)</f>
        <v>0</v>
      </c>
      <c r="CA137" s="268">
        <v>1</v>
      </c>
      <c r="CB137" s="268">
        <v>1</v>
      </c>
      <c r="CZ137" s="266">
        <v>0</v>
      </c>
    </row>
    <row r="138" spans="1:15" ht="12.75">
      <c r="A138" s="226"/>
      <c r="B138" s="227"/>
      <c r="C138" s="1588" t="s">
        <v>1266</v>
      </c>
      <c r="D138" s="1589"/>
      <c r="E138" s="228">
        <v>15.4</v>
      </c>
      <c r="F138" s="229"/>
      <c r="G138" s="230"/>
      <c r="M138" s="234" t="s">
        <v>1266</v>
      </c>
      <c r="O138" s="268"/>
    </row>
    <row r="139" spans="1:15" ht="12.75">
      <c r="A139" s="226"/>
      <c r="B139" s="227"/>
      <c r="C139" s="1588" t="s">
        <v>1267</v>
      </c>
      <c r="D139" s="1589"/>
      <c r="E139" s="228">
        <v>14.4</v>
      </c>
      <c r="F139" s="229"/>
      <c r="G139" s="230"/>
      <c r="M139" s="234" t="s">
        <v>1267</v>
      </c>
      <c r="O139" s="268"/>
    </row>
    <row r="140" spans="1:15" ht="12.75">
      <c r="A140" s="226"/>
      <c r="B140" s="227"/>
      <c r="C140" s="1588" t="s">
        <v>1268</v>
      </c>
      <c r="D140" s="1589"/>
      <c r="E140" s="228">
        <v>-32.5</v>
      </c>
      <c r="F140" s="229"/>
      <c r="G140" s="230"/>
      <c r="M140" s="234" t="s">
        <v>1268</v>
      </c>
      <c r="O140" s="268"/>
    </row>
    <row r="141" spans="1:104" ht="12.75">
      <c r="A141" s="218">
        <v>33</v>
      </c>
      <c r="B141" s="219" t="s">
        <v>588</v>
      </c>
      <c r="C141" s="220" t="s">
        <v>589</v>
      </c>
      <c r="D141" s="221" t="s">
        <v>166</v>
      </c>
      <c r="E141" s="222">
        <v>0.065</v>
      </c>
      <c r="F141" s="222">
        <v>0</v>
      </c>
      <c r="G141" s="223">
        <f>E141*F141</f>
        <v>0</v>
      </c>
      <c r="O141" s="268">
        <v>2</v>
      </c>
      <c r="AA141" s="266">
        <v>1</v>
      </c>
      <c r="AB141" s="266">
        <v>1</v>
      </c>
      <c r="AC141" s="266">
        <v>1</v>
      </c>
      <c r="AZ141" s="266">
        <v>1</v>
      </c>
      <c r="BA141" s="266">
        <f>IF(AZ141=1,G141,0)</f>
        <v>0</v>
      </c>
      <c r="BB141" s="266">
        <f>IF(AZ141=2,G141,0)</f>
        <v>0</v>
      </c>
      <c r="BC141" s="266">
        <f>IF(AZ141=3,G141,0)</f>
        <v>0</v>
      </c>
      <c r="BD141" s="266">
        <f>IF(AZ141=4,G141,0)</f>
        <v>0</v>
      </c>
      <c r="BE141" s="266">
        <f>IF(AZ141=5,G141,0)</f>
        <v>0</v>
      </c>
      <c r="CA141" s="268">
        <v>1</v>
      </c>
      <c r="CB141" s="268">
        <v>1</v>
      </c>
      <c r="CZ141" s="266">
        <v>1.01665</v>
      </c>
    </row>
    <row r="142" spans="1:104" ht="12.75">
      <c r="A142" s="218">
        <v>34</v>
      </c>
      <c r="B142" s="219" t="s">
        <v>590</v>
      </c>
      <c r="C142" s="220" t="s">
        <v>591</v>
      </c>
      <c r="D142" s="221" t="s">
        <v>196</v>
      </c>
      <c r="E142" s="222">
        <v>1</v>
      </c>
      <c r="F142" s="222">
        <v>0</v>
      </c>
      <c r="G142" s="223">
        <f>E142*F142</f>
        <v>0</v>
      </c>
      <c r="O142" s="268">
        <v>2</v>
      </c>
      <c r="AA142" s="266">
        <v>1</v>
      </c>
      <c r="AB142" s="266">
        <v>0</v>
      </c>
      <c r="AC142" s="266">
        <v>0</v>
      </c>
      <c r="AZ142" s="266">
        <v>1</v>
      </c>
      <c r="BA142" s="266">
        <f>IF(AZ142=1,G142,0)</f>
        <v>0</v>
      </c>
      <c r="BB142" s="266">
        <f>IF(AZ142=2,G142,0)</f>
        <v>0</v>
      </c>
      <c r="BC142" s="266">
        <f>IF(AZ142=3,G142,0)</f>
        <v>0</v>
      </c>
      <c r="BD142" s="266">
        <f>IF(AZ142=4,G142,0)</f>
        <v>0</v>
      </c>
      <c r="BE142" s="266">
        <f>IF(AZ142=5,G142,0)</f>
        <v>0</v>
      </c>
      <c r="CA142" s="268">
        <v>1</v>
      </c>
      <c r="CB142" s="268">
        <v>0</v>
      </c>
      <c r="CZ142" s="266">
        <v>0.02125</v>
      </c>
    </row>
    <row r="143" spans="1:15" ht="12.75">
      <c r="A143" s="226"/>
      <c r="B143" s="227"/>
      <c r="C143" s="1588" t="s">
        <v>592</v>
      </c>
      <c r="D143" s="1589"/>
      <c r="E143" s="228">
        <v>1</v>
      </c>
      <c r="F143" s="229"/>
      <c r="G143" s="230"/>
      <c r="M143" s="234" t="s">
        <v>592</v>
      </c>
      <c r="O143" s="268"/>
    </row>
    <row r="144" spans="1:57" ht="12.75">
      <c r="A144" s="236"/>
      <c r="B144" s="237" t="s">
        <v>175</v>
      </c>
      <c r="C144" s="238" t="str">
        <f>CONCATENATE(B114," ",C114)</f>
        <v>4 Vodorovné konstrukce</v>
      </c>
      <c r="D144" s="239"/>
      <c r="E144" s="240"/>
      <c r="F144" s="241"/>
      <c r="G144" s="242">
        <f>SUM(G114:G143)</f>
        <v>0</v>
      </c>
      <c r="O144" s="268">
        <v>4</v>
      </c>
      <c r="BA144" s="269">
        <f>SUM(BA114:BA143)</f>
        <v>0</v>
      </c>
      <c r="BB144" s="269">
        <f>SUM(BB114:BB143)</f>
        <v>0</v>
      </c>
      <c r="BC144" s="269">
        <f>SUM(BC114:BC143)</f>
        <v>0</v>
      </c>
      <c r="BD144" s="269">
        <f>SUM(BD114:BD143)</f>
        <v>0</v>
      </c>
      <c r="BE144" s="269">
        <f>SUM(BE114:BE143)</f>
        <v>0</v>
      </c>
    </row>
    <row r="145" spans="1:15" ht="12.75">
      <c r="A145" s="207" t="s">
        <v>140</v>
      </c>
      <c r="B145" s="208" t="s">
        <v>462</v>
      </c>
      <c r="C145" s="209" t="s">
        <v>17</v>
      </c>
      <c r="D145" s="210"/>
      <c r="E145" s="211"/>
      <c r="F145" s="211"/>
      <c r="G145" s="212"/>
      <c r="H145" s="267"/>
      <c r="I145" s="267"/>
      <c r="O145" s="268">
        <v>1</v>
      </c>
    </row>
    <row r="146" spans="1:104" ht="12.75">
      <c r="A146" s="218">
        <v>35</v>
      </c>
      <c r="B146" s="219" t="s">
        <v>594</v>
      </c>
      <c r="C146" s="220" t="s">
        <v>595</v>
      </c>
      <c r="D146" s="221" t="s">
        <v>145</v>
      </c>
      <c r="E146" s="222">
        <v>31.4689</v>
      </c>
      <c r="F146" s="222">
        <v>0</v>
      </c>
      <c r="G146" s="223">
        <f>E146*F146</f>
        <v>0</v>
      </c>
      <c r="O146" s="268">
        <v>2</v>
      </c>
      <c r="AA146" s="266">
        <v>1</v>
      </c>
      <c r="AB146" s="266">
        <v>1</v>
      </c>
      <c r="AC146" s="266">
        <v>1</v>
      </c>
      <c r="AZ146" s="266">
        <v>1</v>
      </c>
      <c r="BA146" s="266">
        <f>IF(AZ146=1,G146,0)</f>
        <v>0</v>
      </c>
      <c r="BB146" s="266">
        <f>IF(AZ146=2,G146,0)</f>
        <v>0</v>
      </c>
      <c r="BC146" s="266">
        <f>IF(AZ146=3,G146,0)</f>
        <v>0</v>
      </c>
      <c r="BD146" s="266">
        <f>IF(AZ146=4,G146,0)</f>
        <v>0</v>
      </c>
      <c r="BE146" s="266">
        <f>IF(AZ146=5,G146,0)</f>
        <v>0</v>
      </c>
      <c r="CA146" s="268">
        <v>1</v>
      </c>
      <c r="CB146" s="268">
        <v>1</v>
      </c>
      <c r="CZ146" s="266">
        <v>0.27994</v>
      </c>
    </row>
    <row r="147" spans="1:15" ht="12.75">
      <c r="A147" s="226"/>
      <c r="B147" s="227"/>
      <c r="C147" s="1588" t="s">
        <v>1269</v>
      </c>
      <c r="D147" s="1589"/>
      <c r="E147" s="228">
        <v>23.901</v>
      </c>
      <c r="F147" s="229"/>
      <c r="G147" s="230"/>
      <c r="M147" s="234" t="s">
        <v>1269</v>
      </c>
      <c r="O147" s="268"/>
    </row>
    <row r="148" spans="1:15" ht="12.75">
      <c r="A148" s="226"/>
      <c r="B148" s="227"/>
      <c r="C148" s="1588" t="s">
        <v>1270</v>
      </c>
      <c r="D148" s="1589"/>
      <c r="E148" s="228">
        <v>14.14</v>
      </c>
      <c r="F148" s="229"/>
      <c r="G148" s="230"/>
      <c r="M148" s="234" t="s">
        <v>1270</v>
      </c>
      <c r="O148" s="268"/>
    </row>
    <row r="149" spans="1:15" ht="12.75">
      <c r="A149" s="226"/>
      <c r="B149" s="227"/>
      <c r="C149" s="1588" t="s">
        <v>1271</v>
      </c>
      <c r="D149" s="1589"/>
      <c r="E149" s="228">
        <v>1.4509</v>
      </c>
      <c r="F149" s="229"/>
      <c r="G149" s="230"/>
      <c r="M149" s="234" t="s">
        <v>1271</v>
      </c>
      <c r="O149" s="268"/>
    </row>
    <row r="150" spans="1:15" ht="12.75">
      <c r="A150" s="226"/>
      <c r="B150" s="227"/>
      <c r="C150" s="1588" t="s">
        <v>1272</v>
      </c>
      <c r="D150" s="1589"/>
      <c r="E150" s="228">
        <v>4.747</v>
      </c>
      <c r="F150" s="229"/>
      <c r="G150" s="230"/>
      <c r="M150" s="234" t="s">
        <v>1272</v>
      </c>
      <c r="O150" s="268"/>
    </row>
    <row r="151" spans="1:15" ht="12.75">
      <c r="A151" s="226"/>
      <c r="B151" s="227"/>
      <c r="C151" s="1588" t="s">
        <v>1273</v>
      </c>
      <c r="D151" s="1589"/>
      <c r="E151" s="228">
        <v>11.26</v>
      </c>
      <c r="F151" s="229"/>
      <c r="G151" s="230"/>
      <c r="M151" s="234" t="s">
        <v>1273</v>
      </c>
      <c r="O151" s="268"/>
    </row>
    <row r="152" spans="1:15" ht="12.75">
      <c r="A152" s="226"/>
      <c r="B152" s="227"/>
      <c r="C152" s="1588" t="s">
        <v>1274</v>
      </c>
      <c r="D152" s="1589"/>
      <c r="E152" s="228">
        <v>-24.03</v>
      </c>
      <c r="F152" s="229"/>
      <c r="G152" s="230"/>
      <c r="M152" s="234" t="s">
        <v>1274</v>
      </c>
      <c r="O152" s="268"/>
    </row>
    <row r="153" spans="1:104" ht="12.75">
      <c r="A153" s="218">
        <v>36</v>
      </c>
      <c r="B153" s="219" t="s">
        <v>598</v>
      </c>
      <c r="C153" s="220" t="s">
        <v>599</v>
      </c>
      <c r="D153" s="221" t="s">
        <v>145</v>
      </c>
      <c r="E153" s="222">
        <v>31.4689</v>
      </c>
      <c r="F153" s="222">
        <v>0</v>
      </c>
      <c r="G153" s="223">
        <f>E153*F153</f>
        <v>0</v>
      </c>
      <c r="O153" s="268">
        <v>2</v>
      </c>
      <c r="AA153" s="266">
        <v>1</v>
      </c>
      <c r="AB153" s="266">
        <v>1</v>
      </c>
      <c r="AC153" s="266">
        <v>1</v>
      </c>
      <c r="AZ153" s="266">
        <v>1</v>
      </c>
      <c r="BA153" s="266">
        <f>IF(AZ153=1,G153,0)</f>
        <v>0</v>
      </c>
      <c r="BB153" s="266">
        <f>IF(AZ153=2,G153,0)</f>
        <v>0</v>
      </c>
      <c r="BC153" s="266">
        <f>IF(AZ153=3,G153,0)</f>
        <v>0</v>
      </c>
      <c r="BD153" s="266">
        <f>IF(AZ153=4,G153,0)</f>
        <v>0</v>
      </c>
      <c r="BE153" s="266">
        <f>IF(AZ153=5,G153,0)</f>
        <v>0</v>
      </c>
      <c r="CA153" s="268">
        <v>1</v>
      </c>
      <c r="CB153" s="268">
        <v>1</v>
      </c>
      <c r="CZ153" s="266">
        <v>0.05545</v>
      </c>
    </row>
    <row r="154" spans="1:15" ht="12.75">
      <c r="A154" s="226"/>
      <c r="B154" s="227"/>
      <c r="C154" s="1588" t="s">
        <v>1269</v>
      </c>
      <c r="D154" s="1589"/>
      <c r="E154" s="228">
        <v>23.901</v>
      </c>
      <c r="F154" s="229"/>
      <c r="G154" s="230"/>
      <c r="M154" s="234" t="s">
        <v>1269</v>
      </c>
      <c r="O154" s="268"/>
    </row>
    <row r="155" spans="1:15" ht="12.75">
      <c r="A155" s="226"/>
      <c r="B155" s="227"/>
      <c r="C155" s="1588" t="s">
        <v>1270</v>
      </c>
      <c r="D155" s="1589"/>
      <c r="E155" s="228">
        <v>14.14</v>
      </c>
      <c r="F155" s="229"/>
      <c r="G155" s="230"/>
      <c r="M155" s="234" t="s">
        <v>1270</v>
      </c>
      <c r="O155" s="268"/>
    </row>
    <row r="156" spans="1:15" ht="12.75">
      <c r="A156" s="226"/>
      <c r="B156" s="227"/>
      <c r="C156" s="1588" t="s">
        <v>1271</v>
      </c>
      <c r="D156" s="1589"/>
      <c r="E156" s="228">
        <v>1.4509</v>
      </c>
      <c r="F156" s="229"/>
      <c r="G156" s="230"/>
      <c r="M156" s="234" t="s">
        <v>1271</v>
      </c>
      <c r="O156" s="268"/>
    </row>
    <row r="157" spans="1:15" ht="12.75">
      <c r="A157" s="226"/>
      <c r="B157" s="227"/>
      <c r="C157" s="1588" t="s">
        <v>1272</v>
      </c>
      <c r="D157" s="1589"/>
      <c r="E157" s="228">
        <v>4.747</v>
      </c>
      <c r="F157" s="229"/>
      <c r="G157" s="230"/>
      <c r="M157" s="234" t="s">
        <v>1272</v>
      </c>
      <c r="O157" s="268"/>
    </row>
    <row r="158" spans="1:15" ht="12.75">
      <c r="A158" s="226"/>
      <c r="B158" s="227"/>
      <c r="C158" s="1588" t="s">
        <v>1273</v>
      </c>
      <c r="D158" s="1589"/>
      <c r="E158" s="228">
        <v>11.26</v>
      </c>
      <c r="F158" s="229"/>
      <c r="G158" s="230"/>
      <c r="M158" s="234" t="s">
        <v>1273</v>
      </c>
      <c r="O158" s="268"/>
    </row>
    <row r="159" spans="1:15" ht="12.75">
      <c r="A159" s="226"/>
      <c r="B159" s="227"/>
      <c r="C159" s="1588" t="s">
        <v>1274</v>
      </c>
      <c r="D159" s="1589"/>
      <c r="E159" s="228">
        <v>-24.03</v>
      </c>
      <c r="F159" s="229"/>
      <c r="G159" s="230"/>
      <c r="M159" s="234" t="s">
        <v>1274</v>
      </c>
      <c r="O159" s="268"/>
    </row>
    <row r="160" spans="1:104" ht="12.75">
      <c r="A160" s="218">
        <v>37</v>
      </c>
      <c r="B160" s="219" t="s">
        <v>600</v>
      </c>
      <c r="C160" s="220" t="s">
        <v>601</v>
      </c>
      <c r="D160" s="221" t="s">
        <v>145</v>
      </c>
      <c r="E160" s="222">
        <v>31.4689</v>
      </c>
      <c r="F160" s="222">
        <v>0</v>
      </c>
      <c r="G160" s="223">
        <f>E160*F160</f>
        <v>0</v>
      </c>
      <c r="O160" s="268">
        <v>2</v>
      </c>
      <c r="AA160" s="266">
        <v>1</v>
      </c>
      <c r="AB160" s="266">
        <v>1</v>
      </c>
      <c r="AC160" s="266">
        <v>1</v>
      </c>
      <c r="AZ160" s="266">
        <v>1</v>
      </c>
      <c r="BA160" s="266">
        <f>IF(AZ160=1,G160,0)</f>
        <v>0</v>
      </c>
      <c r="BB160" s="266">
        <f>IF(AZ160=2,G160,0)</f>
        <v>0</v>
      </c>
      <c r="BC160" s="266">
        <f>IF(AZ160=3,G160,0)</f>
        <v>0</v>
      </c>
      <c r="BD160" s="266">
        <f>IF(AZ160=4,G160,0)</f>
        <v>0</v>
      </c>
      <c r="BE160" s="266">
        <f>IF(AZ160=5,G160,0)</f>
        <v>0</v>
      </c>
      <c r="CA160" s="268">
        <v>1</v>
      </c>
      <c r="CB160" s="268">
        <v>1</v>
      </c>
      <c r="CZ160" s="266">
        <v>0</v>
      </c>
    </row>
    <row r="161" spans="1:15" ht="12.75">
      <c r="A161" s="226"/>
      <c r="B161" s="227"/>
      <c r="C161" s="1588" t="s">
        <v>1269</v>
      </c>
      <c r="D161" s="1589"/>
      <c r="E161" s="228">
        <v>23.901</v>
      </c>
      <c r="F161" s="229"/>
      <c r="G161" s="230"/>
      <c r="M161" s="234" t="s">
        <v>1269</v>
      </c>
      <c r="O161" s="268"/>
    </row>
    <row r="162" spans="1:15" ht="12.75">
      <c r="A162" s="226"/>
      <c r="B162" s="227"/>
      <c r="C162" s="1588" t="s">
        <v>1270</v>
      </c>
      <c r="D162" s="1589"/>
      <c r="E162" s="228">
        <v>14.14</v>
      </c>
      <c r="F162" s="229"/>
      <c r="G162" s="230"/>
      <c r="M162" s="234" t="s">
        <v>1270</v>
      </c>
      <c r="O162" s="268"/>
    </row>
    <row r="163" spans="1:15" ht="12.75">
      <c r="A163" s="226"/>
      <c r="B163" s="227"/>
      <c r="C163" s="1588" t="s">
        <v>1271</v>
      </c>
      <c r="D163" s="1589"/>
      <c r="E163" s="228">
        <v>1.4509</v>
      </c>
      <c r="F163" s="229"/>
      <c r="G163" s="230"/>
      <c r="M163" s="234" t="s">
        <v>1271</v>
      </c>
      <c r="O163" s="268"/>
    </row>
    <row r="164" spans="1:15" ht="12.75">
      <c r="A164" s="226"/>
      <c r="B164" s="227"/>
      <c r="C164" s="1588" t="s">
        <v>1272</v>
      </c>
      <c r="D164" s="1589"/>
      <c r="E164" s="228">
        <v>4.747</v>
      </c>
      <c r="F164" s="229"/>
      <c r="G164" s="230"/>
      <c r="M164" s="234" t="s">
        <v>1272</v>
      </c>
      <c r="O164" s="268"/>
    </row>
    <row r="165" spans="1:15" ht="12.75">
      <c r="A165" s="226"/>
      <c r="B165" s="227"/>
      <c r="C165" s="1588" t="s">
        <v>1273</v>
      </c>
      <c r="D165" s="1589"/>
      <c r="E165" s="228">
        <v>11.26</v>
      </c>
      <c r="F165" s="229"/>
      <c r="G165" s="230"/>
      <c r="M165" s="234" t="s">
        <v>1273</v>
      </c>
      <c r="O165" s="268"/>
    </row>
    <row r="166" spans="1:15" ht="12.75">
      <c r="A166" s="226"/>
      <c r="B166" s="227"/>
      <c r="C166" s="1588" t="s">
        <v>1274</v>
      </c>
      <c r="D166" s="1589"/>
      <c r="E166" s="228">
        <v>-24.03</v>
      </c>
      <c r="F166" s="229"/>
      <c r="G166" s="230"/>
      <c r="M166" s="234" t="s">
        <v>1274</v>
      </c>
      <c r="O166" s="268"/>
    </row>
    <row r="167" spans="1:104" ht="12.75">
      <c r="A167" s="218">
        <v>38</v>
      </c>
      <c r="B167" s="219" t="s">
        <v>602</v>
      </c>
      <c r="C167" s="220" t="s">
        <v>603</v>
      </c>
      <c r="D167" s="221" t="s">
        <v>145</v>
      </c>
      <c r="E167" s="222">
        <v>37.7587</v>
      </c>
      <c r="F167" s="222">
        <v>0</v>
      </c>
      <c r="G167" s="223">
        <f>E167*F167</f>
        <v>0</v>
      </c>
      <c r="O167" s="268">
        <v>2</v>
      </c>
      <c r="AA167" s="266">
        <v>3</v>
      </c>
      <c r="AB167" s="266">
        <v>1</v>
      </c>
      <c r="AC167" s="266">
        <v>59245263</v>
      </c>
      <c r="AZ167" s="266">
        <v>1</v>
      </c>
      <c r="BA167" s="266">
        <f>IF(AZ167=1,G167,0)</f>
        <v>0</v>
      </c>
      <c r="BB167" s="266">
        <f>IF(AZ167=2,G167,0)</f>
        <v>0</v>
      </c>
      <c r="BC167" s="266">
        <f>IF(AZ167=3,G167,0)</f>
        <v>0</v>
      </c>
      <c r="BD167" s="266">
        <f>IF(AZ167=4,G167,0)</f>
        <v>0</v>
      </c>
      <c r="BE167" s="266">
        <f>IF(AZ167=5,G167,0)</f>
        <v>0</v>
      </c>
      <c r="CA167" s="268">
        <v>3</v>
      </c>
      <c r="CB167" s="268">
        <v>1</v>
      </c>
      <c r="CZ167" s="266">
        <v>0.131</v>
      </c>
    </row>
    <row r="168" spans="1:15" ht="12.75">
      <c r="A168" s="226"/>
      <c r="B168" s="227"/>
      <c r="C168" s="1598" t="s">
        <v>197</v>
      </c>
      <c r="D168" s="1589"/>
      <c r="E168" s="246">
        <v>0</v>
      </c>
      <c r="F168" s="229"/>
      <c r="G168" s="230"/>
      <c r="M168" s="234" t="s">
        <v>197</v>
      </c>
      <c r="O168" s="268"/>
    </row>
    <row r="169" spans="1:15" ht="12.75">
      <c r="A169" s="226"/>
      <c r="B169" s="227"/>
      <c r="C169" s="1598" t="s">
        <v>1269</v>
      </c>
      <c r="D169" s="1589"/>
      <c r="E169" s="246">
        <v>23.901</v>
      </c>
      <c r="F169" s="229"/>
      <c r="G169" s="230"/>
      <c r="M169" s="234" t="s">
        <v>1269</v>
      </c>
      <c r="O169" s="268"/>
    </row>
    <row r="170" spans="1:15" ht="12.75">
      <c r="A170" s="226"/>
      <c r="B170" s="227"/>
      <c r="C170" s="1598" t="s">
        <v>1270</v>
      </c>
      <c r="D170" s="1589"/>
      <c r="E170" s="246">
        <v>14.14</v>
      </c>
      <c r="F170" s="229"/>
      <c r="G170" s="230"/>
      <c r="M170" s="234" t="s">
        <v>1270</v>
      </c>
      <c r="O170" s="268"/>
    </row>
    <row r="171" spans="1:15" ht="12.75">
      <c r="A171" s="226"/>
      <c r="B171" s="227"/>
      <c r="C171" s="1598" t="s">
        <v>1271</v>
      </c>
      <c r="D171" s="1589"/>
      <c r="E171" s="246">
        <v>1.4509</v>
      </c>
      <c r="F171" s="229"/>
      <c r="G171" s="230"/>
      <c r="M171" s="234" t="s">
        <v>1271</v>
      </c>
      <c r="O171" s="268"/>
    </row>
    <row r="172" spans="1:15" ht="12.75">
      <c r="A172" s="226"/>
      <c r="B172" s="227"/>
      <c r="C172" s="1598" t="s">
        <v>1272</v>
      </c>
      <c r="D172" s="1589"/>
      <c r="E172" s="246">
        <v>4.747</v>
      </c>
      <c r="F172" s="229"/>
      <c r="G172" s="230"/>
      <c r="M172" s="234" t="s">
        <v>1272</v>
      </c>
      <c r="O172" s="268"/>
    </row>
    <row r="173" spans="1:15" ht="12.75">
      <c r="A173" s="226"/>
      <c r="B173" s="227"/>
      <c r="C173" s="1598" t="s">
        <v>1273</v>
      </c>
      <c r="D173" s="1589"/>
      <c r="E173" s="246">
        <v>11.26</v>
      </c>
      <c r="F173" s="229"/>
      <c r="G173" s="230"/>
      <c r="M173" s="234" t="s">
        <v>1273</v>
      </c>
      <c r="O173" s="268"/>
    </row>
    <row r="174" spans="1:15" ht="12.75">
      <c r="A174" s="226"/>
      <c r="B174" s="227"/>
      <c r="C174" s="1598" t="s">
        <v>199</v>
      </c>
      <c r="D174" s="1589"/>
      <c r="E174" s="246">
        <v>55.49889999999999</v>
      </c>
      <c r="F174" s="229"/>
      <c r="G174" s="230"/>
      <c r="M174" s="234" t="s">
        <v>199</v>
      </c>
      <c r="O174" s="268"/>
    </row>
    <row r="175" spans="1:15" ht="12.75">
      <c r="A175" s="226"/>
      <c r="B175" s="227"/>
      <c r="C175" s="1588" t="s">
        <v>1275</v>
      </c>
      <c r="D175" s="1589"/>
      <c r="E175" s="228">
        <v>66.5987</v>
      </c>
      <c r="F175" s="229"/>
      <c r="G175" s="230"/>
      <c r="M175" s="234" t="s">
        <v>1275</v>
      </c>
      <c r="O175" s="268"/>
    </row>
    <row r="176" spans="1:15" ht="12.75">
      <c r="A176" s="226"/>
      <c r="B176" s="227"/>
      <c r="C176" s="1588" t="s">
        <v>1276</v>
      </c>
      <c r="D176" s="1589"/>
      <c r="E176" s="228">
        <v>-28.84</v>
      </c>
      <c r="F176" s="229"/>
      <c r="G176" s="230"/>
      <c r="M176" s="234" t="s">
        <v>1276</v>
      </c>
      <c r="O176" s="268"/>
    </row>
    <row r="177" spans="1:104" ht="12.75">
      <c r="A177" s="218">
        <v>39</v>
      </c>
      <c r="B177" s="219" t="s">
        <v>1277</v>
      </c>
      <c r="C177" s="220" t="s">
        <v>1278</v>
      </c>
      <c r="D177" s="221" t="s">
        <v>166</v>
      </c>
      <c r="E177" s="222">
        <v>7.235907267</v>
      </c>
      <c r="F177" s="222">
        <v>0</v>
      </c>
      <c r="G177" s="223">
        <f>E177*F177</f>
        <v>0</v>
      </c>
      <c r="O177" s="268">
        <v>2</v>
      </c>
      <c r="AA177" s="266">
        <v>7</v>
      </c>
      <c r="AB177" s="266">
        <v>1</v>
      </c>
      <c r="AC177" s="266">
        <v>2</v>
      </c>
      <c r="AZ177" s="266">
        <v>1</v>
      </c>
      <c r="BA177" s="266">
        <f>IF(AZ177=1,G177,0)</f>
        <v>0</v>
      </c>
      <c r="BB177" s="266">
        <f>IF(AZ177=2,G177,0)</f>
        <v>0</v>
      </c>
      <c r="BC177" s="266">
        <f>IF(AZ177=3,G177,0)</f>
        <v>0</v>
      </c>
      <c r="BD177" s="266">
        <f>IF(AZ177=4,G177,0)</f>
        <v>0</v>
      </c>
      <c r="BE177" s="266">
        <f>IF(AZ177=5,G177,0)</f>
        <v>0</v>
      </c>
      <c r="CA177" s="268">
        <v>7</v>
      </c>
      <c r="CB177" s="268">
        <v>1</v>
      </c>
      <c r="CZ177" s="266">
        <v>0</v>
      </c>
    </row>
    <row r="178" spans="1:57" ht="12.75">
      <c r="A178" s="236"/>
      <c r="B178" s="237" t="s">
        <v>175</v>
      </c>
      <c r="C178" s="238" t="str">
        <f>CONCATENATE(B145," ",C145)</f>
        <v>5 Komunikace</v>
      </c>
      <c r="D178" s="239"/>
      <c r="E178" s="240"/>
      <c r="F178" s="241"/>
      <c r="G178" s="242">
        <f>SUM(G145:G177)</f>
        <v>0</v>
      </c>
      <c r="O178" s="268">
        <v>4</v>
      </c>
      <c r="BA178" s="269">
        <f>SUM(BA145:BA177)</f>
        <v>0</v>
      </c>
      <c r="BB178" s="269">
        <f>SUM(BB145:BB177)</f>
        <v>0</v>
      </c>
      <c r="BC178" s="269">
        <f>SUM(BC145:BC177)</f>
        <v>0</v>
      </c>
      <c r="BD178" s="269">
        <f>SUM(BD145:BD177)</f>
        <v>0</v>
      </c>
      <c r="BE178" s="269">
        <f>SUM(BE145:BE177)</f>
        <v>0</v>
      </c>
    </row>
    <row r="179" spans="1:15" ht="12.75">
      <c r="A179" s="207" t="s">
        <v>140</v>
      </c>
      <c r="B179" s="208" t="s">
        <v>606</v>
      </c>
      <c r="C179" s="209" t="s">
        <v>607</v>
      </c>
      <c r="D179" s="210"/>
      <c r="E179" s="211"/>
      <c r="F179" s="211"/>
      <c r="G179" s="212"/>
      <c r="H179" s="267"/>
      <c r="I179" s="267"/>
      <c r="O179" s="268">
        <v>1</v>
      </c>
    </row>
    <row r="180" spans="1:104" ht="12.75">
      <c r="A180" s="218">
        <v>40</v>
      </c>
      <c r="B180" s="219" t="s">
        <v>608</v>
      </c>
      <c r="C180" s="220" t="s">
        <v>609</v>
      </c>
      <c r="D180" s="221" t="s">
        <v>145</v>
      </c>
      <c r="E180" s="222">
        <v>-4.8375</v>
      </c>
      <c r="F180" s="222">
        <v>0</v>
      </c>
      <c r="G180" s="223">
        <f>E180*F180</f>
        <v>0</v>
      </c>
      <c r="O180" s="268">
        <v>2</v>
      </c>
      <c r="AA180" s="266">
        <v>1</v>
      </c>
      <c r="AB180" s="266">
        <v>1</v>
      </c>
      <c r="AC180" s="266">
        <v>1</v>
      </c>
      <c r="AZ180" s="266">
        <v>1</v>
      </c>
      <c r="BA180" s="266">
        <f>IF(AZ180=1,G180,0)</f>
        <v>0</v>
      </c>
      <c r="BB180" s="266">
        <f>IF(AZ180=2,G180,0)</f>
        <v>0</v>
      </c>
      <c r="BC180" s="266">
        <f>IF(AZ180=3,G180,0)</f>
        <v>0</v>
      </c>
      <c r="BD180" s="266">
        <f>IF(AZ180=4,G180,0)</f>
        <v>0</v>
      </c>
      <c r="BE180" s="266">
        <f>IF(AZ180=5,G180,0)</f>
        <v>0</v>
      </c>
      <c r="CA180" s="268">
        <v>1</v>
      </c>
      <c r="CB180" s="268">
        <v>1</v>
      </c>
      <c r="CZ180" s="266">
        <v>0.003</v>
      </c>
    </row>
    <row r="181" spans="1:15" ht="12.75">
      <c r="A181" s="226"/>
      <c r="B181" s="227"/>
      <c r="C181" s="1588" t="s">
        <v>1279</v>
      </c>
      <c r="D181" s="1589"/>
      <c r="E181" s="228">
        <v>38.48</v>
      </c>
      <c r="F181" s="229"/>
      <c r="G181" s="230"/>
      <c r="M181" s="234" t="s">
        <v>1279</v>
      </c>
      <c r="O181" s="268"/>
    </row>
    <row r="182" spans="1:15" ht="12.75">
      <c r="A182" s="226"/>
      <c r="B182" s="227"/>
      <c r="C182" s="1588" t="s">
        <v>1280</v>
      </c>
      <c r="D182" s="1589"/>
      <c r="E182" s="228">
        <v>2.8375</v>
      </c>
      <c r="F182" s="229"/>
      <c r="G182" s="230"/>
      <c r="M182" s="234" t="s">
        <v>1280</v>
      </c>
      <c r="O182" s="268"/>
    </row>
    <row r="183" spans="1:15" ht="12.75">
      <c r="A183" s="226"/>
      <c r="B183" s="227"/>
      <c r="C183" s="1588" t="s">
        <v>1232</v>
      </c>
      <c r="D183" s="1589"/>
      <c r="E183" s="228">
        <v>-10.455</v>
      </c>
      <c r="F183" s="229"/>
      <c r="G183" s="230"/>
      <c r="M183" s="234" t="s">
        <v>1232</v>
      </c>
      <c r="O183" s="268"/>
    </row>
    <row r="184" spans="1:15" ht="12.75">
      <c r="A184" s="226"/>
      <c r="B184" s="227"/>
      <c r="C184" s="1588" t="s">
        <v>1281</v>
      </c>
      <c r="D184" s="1589"/>
      <c r="E184" s="228">
        <v>-35.7</v>
      </c>
      <c r="F184" s="229"/>
      <c r="G184" s="230"/>
      <c r="M184" s="234" t="s">
        <v>1281</v>
      </c>
      <c r="O184" s="268"/>
    </row>
    <row r="185" spans="1:104" ht="20.4">
      <c r="A185" s="218">
        <v>41</v>
      </c>
      <c r="B185" s="219" t="s">
        <v>612</v>
      </c>
      <c r="C185" s="220" t="s">
        <v>613</v>
      </c>
      <c r="D185" s="221" t="s">
        <v>145</v>
      </c>
      <c r="E185" s="222">
        <v>-157.4775</v>
      </c>
      <c r="F185" s="222">
        <v>0</v>
      </c>
      <c r="G185" s="223">
        <f>E185*F185</f>
        <v>0</v>
      </c>
      <c r="O185" s="268">
        <v>2</v>
      </c>
      <c r="AA185" s="266">
        <v>1</v>
      </c>
      <c r="AB185" s="266">
        <v>1</v>
      </c>
      <c r="AC185" s="266">
        <v>1</v>
      </c>
      <c r="AZ185" s="266">
        <v>1</v>
      </c>
      <c r="BA185" s="266">
        <f>IF(AZ185=1,G185,0)</f>
        <v>0</v>
      </c>
      <c r="BB185" s="266">
        <f>IF(AZ185=2,G185,0)</f>
        <v>0</v>
      </c>
      <c r="BC185" s="266">
        <f>IF(AZ185=3,G185,0)</f>
        <v>0</v>
      </c>
      <c r="BD185" s="266">
        <f>IF(AZ185=4,G185,0)</f>
        <v>0</v>
      </c>
      <c r="BE185" s="266">
        <f>IF(AZ185=5,G185,0)</f>
        <v>0</v>
      </c>
      <c r="CA185" s="268">
        <v>1</v>
      </c>
      <c r="CB185" s="268">
        <v>1</v>
      </c>
      <c r="CZ185" s="266">
        <v>0.00367</v>
      </c>
    </row>
    <row r="186" spans="1:15" ht="12.75">
      <c r="A186" s="226"/>
      <c r="B186" s="227"/>
      <c r="C186" s="1588" t="s">
        <v>1279</v>
      </c>
      <c r="D186" s="1589"/>
      <c r="E186" s="228">
        <v>38.48</v>
      </c>
      <c r="F186" s="229"/>
      <c r="G186" s="230"/>
      <c r="M186" s="234" t="s">
        <v>1279</v>
      </c>
      <c r="O186" s="268"/>
    </row>
    <row r="187" spans="1:15" ht="12.75">
      <c r="A187" s="226"/>
      <c r="B187" s="227"/>
      <c r="C187" s="1588" t="s">
        <v>1280</v>
      </c>
      <c r="D187" s="1589"/>
      <c r="E187" s="228">
        <v>2.8375</v>
      </c>
      <c r="F187" s="229"/>
      <c r="G187" s="230"/>
      <c r="M187" s="234" t="s">
        <v>1280</v>
      </c>
      <c r="O187" s="268"/>
    </row>
    <row r="188" spans="1:15" ht="12.75">
      <c r="A188" s="226"/>
      <c r="B188" s="227"/>
      <c r="C188" s="1588" t="s">
        <v>1232</v>
      </c>
      <c r="D188" s="1589"/>
      <c r="E188" s="228">
        <v>-10.455</v>
      </c>
      <c r="F188" s="229"/>
      <c r="G188" s="230"/>
      <c r="M188" s="234" t="s">
        <v>1232</v>
      </c>
      <c r="O188" s="268"/>
    </row>
    <row r="189" spans="1:15" ht="12.75">
      <c r="A189" s="226"/>
      <c r="B189" s="227"/>
      <c r="C189" s="1588" t="s">
        <v>1281</v>
      </c>
      <c r="D189" s="1589"/>
      <c r="E189" s="228">
        <v>-35.7</v>
      </c>
      <c r="F189" s="229"/>
      <c r="G189" s="230"/>
      <c r="M189" s="234" t="s">
        <v>1281</v>
      </c>
      <c r="O189" s="268"/>
    </row>
    <row r="190" spans="1:15" ht="12.75">
      <c r="A190" s="226"/>
      <c r="B190" s="227"/>
      <c r="C190" s="1588" t="s">
        <v>1282</v>
      </c>
      <c r="D190" s="1589"/>
      <c r="E190" s="228">
        <v>-152.64</v>
      </c>
      <c r="F190" s="229"/>
      <c r="G190" s="230"/>
      <c r="M190" s="234" t="s">
        <v>1282</v>
      </c>
      <c r="O190" s="268"/>
    </row>
    <row r="191" spans="1:57" ht="12.75">
      <c r="A191" s="236"/>
      <c r="B191" s="237" t="s">
        <v>175</v>
      </c>
      <c r="C191" s="238" t="str">
        <f>CONCATENATE(B179," ",C179)</f>
        <v>61 Upravy povrchů vnitřní</v>
      </c>
      <c r="D191" s="239"/>
      <c r="E191" s="240"/>
      <c r="F191" s="241"/>
      <c r="G191" s="242">
        <f>SUM(G179:G190)</f>
        <v>0</v>
      </c>
      <c r="O191" s="268">
        <v>4</v>
      </c>
      <c r="BA191" s="269">
        <f>SUM(BA179:BA190)</f>
        <v>0</v>
      </c>
      <c r="BB191" s="269">
        <f>SUM(BB179:BB190)</f>
        <v>0</v>
      </c>
      <c r="BC191" s="269">
        <f>SUM(BC179:BC190)</f>
        <v>0</v>
      </c>
      <c r="BD191" s="269">
        <f>SUM(BD179:BD190)</f>
        <v>0</v>
      </c>
      <c r="BE191" s="269">
        <f>SUM(BE179:BE190)</f>
        <v>0</v>
      </c>
    </row>
    <row r="192" spans="1:15" ht="12.75">
      <c r="A192" s="207" t="s">
        <v>140</v>
      </c>
      <c r="B192" s="208" t="s">
        <v>617</v>
      </c>
      <c r="C192" s="209" t="s">
        <v>618</v>
      </c>
      <c r="D192" s="210"/>
      <c r="E192" s="211"/>
      <c r="F192" s="211"/>
      <c r="G192" s="212"/>
      <c r="H192" s="267"/>
      <c r="I192" s="267"/>
      <c r="O192" s="268">
        <v>1</v>
      </c>
    </row>
    <row r="193" spans="1:104" ht="20.4">
      <c r="A193" s="218">
        <v>42</v>
      </c>
      <c r="B193" s="219" t="s">
        <v>619</v>
      </c>
      <c r="C193" s="220" t="s">
        <v>620</v>
      </c>
      <c r="D193" s="221" t="s">
        <v>145</v>
      </c>
      <c r="E193" s="222">
        <v>7.3119</v>
      </c>
      <c r="F193" s="222">
        <v>0</v>
      </c>
      <c r="G193" s="223">
        <f>E193*F193</f>
        <v>0</v>
      </c>
      <c r="O193" s="268">
        <v>2</v>
      </c>
      <c r="AA193" s="266">
        <v>1</v>
      </c>
      <c r="AB193" s="266">
        <v>1</v>
      </c>
      <c r="AC193" s="266">
        <v>1</v>
      </c>
      <c r="AZ193" s="266">
        <v>1</v>
      </c>
      <c r="BA193" s="266">
        <f>IF(AZ193=1,G193,0)</f>
        <v>0</v>
      </c>
      <c r="BB193" s="266">
        <f>IF(AZ193=2,G193,0)</f>
        <v>0</v>
      </c>
      <c r="BC193" s="266">
        <f>IF(AZ193=3,G193,0)</f>
        <v>0</v>
      </c>
      <c r="BD193" s="266">
        <f>IF(AZ193=4,G193,0)</f>
        <v>0</v>
      </c>
      <c r="BE193" s="266">
        <f>IF(AZ193=5,G193,0)</f>
        <v>0</v>
      </c>
      <c r="CA193" s="268">
        <v>1</v>
      </c>
      <c r="CB193" s="268">
        <v>1</v>
      </c>
      <c r="CZ193" s="266">
        <v>0.01472</v>
      </c>
    </row>
    <row r="194" spans="1:15" ht="12.75">
      <c r="A194" s="226"/>
      <c r="B194" s="227"/>
      <c r="C194" s="1588" t="s">
        <v>1283</v>
      </c>
      <c r="D194" s="1589"/>
      <c r="E194" s="228">
        <v>69.984</v>
      </c>
      <c r="F194" s="229"/>
      <c r="G194" s="230"/>
      <c r="M194" s="234" t="s">
        <v>1283</v>
      </c>
      <c r="O194" s="268"/>
    </row>
    <row r="195" spans="1:15" ht="12.75">
      <c r="A195" s="226"/>
      <c r="B195" s="227"/>
      <c r="C195" s="1588" t="s">
        <v>1284</v>
      </c>
      <c r="D195" s="1589"/>
      <c r="E195" s="228">
        <v>8.1679</v>
      </c>
      <c r="F195" s="229"/>
      <c r="G195" s="230"/>
      <c r="M195" s="234" t="s">
        <v>1284</v>
      </c>
      <c r="O195" s="268"/>
    </row>
    <row r="196" spans="1:15" ht="12.75">
      <c r="A196" s="226"/>
      <c r="B196" s="227"/>
      <c r="C196" s="1588" t="s">
        <v>1285</v>
      </c>
      <c r="D196" s="1589"/>
      <c r="E196" s="228">
        <v>-70.84</v>
      </c>
      <c r="F196" s="229"/>
      <c r="G196" s="230"/>
      <c r="M196" s="234" t="s">
        <v>1285</v>
      </c>
      <c r="O196" s="268"/>
    </row>
    <row r="197" spans="1:104" ht="12.75">
      <c r="A197" s="218">
        <v>43</v>
      </c>
      <c r="B197" s="219" t="s">
        <v>622</v>
      </c>
      <c r="C197" s="220" t="s">
        <v>1286</v>
      </c>
      <c r="D197" s="221" t="s">
        <v>145</v>
      </c>
      <c r="E197" s="222">
        <v>-16.1</v>
      </c>
      <c r="F197" s="222">
        <v>0</v>
      </c>
      <c r="G197" s="223">
        <f>E197*F197</f>
        <v>0</v>
      </c>
      <c r="O197" s="268">
        <v>2</v>
      </c>
      <c r="AA197" s="266">
        <v>1</v>
      </c>
      <c r="AB197" s="266">
        <v>1</v>
      </c>
      <c r="AC197" s="266">
        <v>1</v>
      </c>
      <c r="AZ197" s="266">
        <v>1</v>
      </c>
      <c r="BA197" s="266">
        <f>IF(AZ197=1,G197,0)</f>
        <v>0</v>
      </c>
      <c r="BB197" s="266">
        <f>IF(AZ197=2,G197,0)</f>
        <v>0</v>
      </c>
      <c r="BC197" s="266">
        <f>IF(AZ197=3,G197,0)</f>
        <v>0</v>
      </c>
      <c r="BD197" s="266">
        <f>IF(AZ197=4,G197,0)</f>
        <v>0</v>
      </c>
      <c r="BE197" s="266">
        <f>IF(AZ197=5,G197,0)</f>
        <v>0</v>
      </c>
      <c r="CA197" s="268">
        <v>1</v>
      </c>
      <c r="CB197" s="268">
        <v>1</v>
      </c>
      <c r="CZ197" s="266">
        <v>0.01021</v>
      </c>
    </row>
    <row r="198" spans="1:15" ht="12.75">
      <c r="A198" s="226"/>
      <c r="B198" s="227"/>
      <c r="C198" s="1588" t="s">
        <v>1287</v>
      </c>
      <c r="D198" s="1589"/>
      <c r="E198" s="228">
        <v>-16.1</v>
      </c>
      <c r="F198" s="229"/>
      <c r="G198" s="230"/>
      <c r="M198" s="234" t="s">
        <v>1287</v>
      </c>
      <c r="O198" s="268"/>
    </row>
    <row r="199" spans="1:104" ht="20.4">
      <c r="A199" s="218">
        <v>44</v>
      </c>
      <c r="B199" s="219" t="s">
        <v>625</v>
      </c>
      <c r="C199" s="220" t="s">
        <v>1288</v>
      </c>
      <c r="D199" s="221" t="s">
        <v>145</v>
      </c>
      <c r="E199" s="222">
        <v>-6.44</v>
      </c>
      <c r="F199" s="222">
        <v>0</v>
      </c>
      <c r="G199" s="223">
        <f>E199*F199</f>
        <v>0</v>
      </c>
      <c r="O199" s="268">
        <v>2</v>
      </c>
      <c r="AA199" s="266">
        <v>1</v>
      </c>
      <c r="AB199" s="266">
        <v>1</v>
      </c>
      <c r="AC199" s="266">
        <v>1</v>
      </c>
      <c r="AZ199" s="266">
        <v>1</v>
      </c>
      <c r="BA199" s="266">
        <f>IF(AZ199=1,G199,0)</f>
        <v>0</v>
      </c>
      <c r="BB199" s="266">
        <f>IF(AZ199=2,G199,0)</f>
        <v>0</v>
      </c>
      <c r="BC199" s="266">
        <f>IF(AZ199=3,G199,0)</f>
        <v>0</v>
      </c>
      <c r="BD199" s="266">
        <f>IF(AZ199=4,G199,0)</f>
        <v>0</v>
      </c>
      <c r="BE199" s="266">
        <f>IF(AZ199=5,G199,0)</f>
        <v>0</v>
      </c>
      <c r="CA199" s="268">
        <v>1</v>
      </c>
      <c r="CB199" s="268">
        <v>1</v>
      </c>
      <c r="CZ199" s="266">
        <v>0.0168</v>
      </c>
    </row>
    <row r="200" spans="1:15" ht="12.75">
      <c r="A200" s="226"/>
      <c r="B200" s="227"/>
      <c r="C200" s="1588" t="s">
        <v>1289</v>
      </c>
      <c r="D200" s="1589"/>
      <c r="E200" s="228">
        <v>-6.44</v>
      </c>
      <c r="F200" s="229"/>
      <c r="G200" s="230"/>
      <c r="M200" s="234" t="s">
        <v>1289</v>
      </c>
      <c r="O200" s="268"/>
    </row>
    <row r="201" spans="1:104" ht="20.4">
      <c r="A201" s="218">
        <v>45</v>
      </c>
      <c r="B201" s="219" t="s">
        <v>1290</v>
      </c>
      <c r="C201" s="220" t="s">
        <v>1291</v>
      </c>
      <c r="D201" s="221" t="s">
        <v>145</v>
      </c>
      <c r="E201" s="222">
        <v>14.4144</v>
      </c>
      <c r="F201" s="222">
        <v>0</v>
      </c>
      <c r="G201" s="223">
        <f>E201*F201</f>
        <v>0</v>
      </c>
      <c r="O201" s="268">
        <v>2</v>
      </c>
      <c r="AA201" s="266">
        <v>1</v>
      </c>
      <c r="AB201" s="266">
        <v>1</v>
      </c>
      <c r="AC201" s="266">
        <v>1</v>
      </c>
      <c r="AZ201" s="266">
        <v>1</v>
      </c>
      <c r="BA201" s="266">
        <f>IF(AZ201=1,G201,0)</f>
        <v>0</v>
      </c>
      <c r="BB201" s="266">
        <f>IF(AZ201=2,G201,0)</f>
        <v>0</v>
      </c>
      <c r="BC201" s="266">
        <f>IF(AZ201=3,G201,0)</f>
        <v>0</v>
      </c>
      <c r="BD201" s="266">
        <f>IF(AZ201=4,G201,0)</f>
        <v>0</v>
      </c>
      <c r="BE201" s="266">
        <f>IF(AZ201=5,G201,0)</f>
        <v>0</v>
      </c>
      <c r="CA201" s="268">
        <v>1</v>
      </c>
      <c r="CB201" s="268">
        <v>1</v>
      </c>
      <c r="CZ201" s="266">
        <v>0.01999</v>
      </c>
    </row>
    <row r="202" spans="1:15" ht="12.75">
      <c r="A202" s="226"/>
      <c r="B202" s="227"/>
      <c r="C202" s="1588" t="s">
        <v>1292</v>
      </c>
      <c r="D202" s="1589"/>
      <c r="E202" s="228">
        <v>14.4144</v>
      </c>
      <c r="F202" s="229"/>
      <c r="G202" s="230"/>
      <c r="M202" s="234" t="s">
        <v>1292</v>
      </c>
      <c r="O202" s="268"/>
    </row>
    <row r="203" spans="1:104" ht="12.75">
      <c r="A203" s="218">
        <v>46</v>
      </c>
      <c r="B203" s="219" t="s">
        <v>628</v>
      </c>
      <c r="C203" s="220" t="s">
        <v>629</v>
      </c>
      <c r="D203" s="221" t="s">
        <v>145</v>
      </c>
      <c r="E203" s="222">
        <v>-70.84</v>
      </c>
      <c r="F203" s="222">
        <v>0</v>
      </c>
      <c r="G203" s="223">
        <f>E203*F203</f>
        <v>0</v>
      </c>
      <c r="O203" s="268">
        <v>2</v>
      </c>
      <c r="AA203" s="266">
        <v>1</v>
      </c>
      <c r="AB203" s="266">
        <v>1</v>
      </c>
      <c r="AC203" s="266">
        <v>1</v>
      </c>
      <c r="AZ203" s="266">
        <v>1</v>
      </c>
      <c r="BA203" s="266">
        <f>IF(AZ203=1,G203,0)</f>
        <v>0</v>
      </c>
      <c r="BB203" s="266">
        <f>IF(AZ203=2,G203,0)</f>
        <v>0</v>
      </c>
      <c r="BC203" s="266">
        <f>IF(AZ203=3,G203,0)</f>
        <v>0</v>
      </c>
      <c r="BD203" s="266">
        <f>IF(AZ203=4,G203,0)</f>
        <v>0</v>
      </c>
      <c r="BE203" s="266">
        <f>IF(AZ203=5,G203,0)</f>
        <v>0</v>
      </c>
      <c r="CA203" s="268">
        <v>1</v>
      </c>
      <c r="CB203" s="268">
        <v>1</v>
      </c>
      <c r="CZ203" s="266">
        <v>0</v>
      </c>
    </row>
    <row r="204" spans="1:104" ht="12.75">
      <c r="A204" s="218">
        <v>47</v>
      </c>
      <c r="B204" s="219" t="s">
        <v>630</v>
      </c>
      <c r="C204" s="220" t="s">
        <v>631</v>
      </c>
      <c r="D204" s="221" t="s">
        <v>181</v>
      </c>
      <c r="E204" s="222">
        <v>-1</v>
      </c>
      <c r="F204" s="222">
        <v>0</v>
      </c>
      <c r="G204" s="223">
        <f>E204*F204</f>
        <v>0</v>
      </c>
      <c r="O204" s="268">
        <v>2</v>
      </c>
      <c r="AA204" s="266">
        <v>1</v>
      </c>
      <c r="AB204" s="266">
        <v>1</v>
      </c>
      <c r="AC204" s="266">
        <v>1</v>
      </c>
      <c r="AZ204" s="266">
        <v>1</v>
      </c>
      <c r="BA204" s="266">
        <f>IF(AZ204=1,G204,0)</f>
        <v>0</v>
      </c>
      <c r="BB204" s="266">
        <f>IF(AZ204=2,G204,0)</f>
        <v>0</v>
      </c>
      <c r="BC204" s="266">
        <f>IF(AZ204=3,G204,0)</f>
        <v>0</v>
      </c>
      <c r="BD204" s="266">
        <f>IF(AZ204=4,G204,0)</f>
        <v>0</v>
      </c>
      <c r="BE204" s="266">
        <f>IF(AZ204=5,G204,0)</f>
        <v>0</v>
      </c>
      <c r="CA204" s="268">
        <v>1</v>
      </c>
      <c r="CB204" s="268">
        <v>1</v>
      </c>
      <c r="CZ204" s="266">
        <v>8E-05</v>
      </c>
    </row>
    <row r="205" spans="1:104" ht="20.4">
      <c r="A205" s="218">
        <v>48</v>
      </c>
      <c r="B205" s="219" t="s">
        <v>632</v>
      </c>
      <c r="C205" s="220" t="s">
        <v>633</v>
      </c>
      <c r="D205" s="221" t="s">
        <v>145</v>
      </c>
      <c r="E205" s="222">
        <v>44.04</v>
      </c>
      <c r="F205" s="222">
        <v>0</v>
      </c>
      <c r="G205" s="223">
        <f>E205*F205</f>
        <v>0</v>
      </c>
      <c r="O205" s="268">
        <v>2</v>
      </c>
      <c r="AA205" s="266">
        <v>1</v>
      </c>
      <c r="AB205" s="266">
        <v>1</v>
      </c>
      <c r="AC205" s="266">
        <v>1</v>
      </c>
      <c r="AZ205" s="266">
        <v>1</v>
      </c>
      <c r="BA205" s="266">
        <f>IF(AZ205=1,G205,0)</f>
        <v>0</v>
      </c>
      <c r="BB205" s="266">
        <f>IF(AZ205=2,G205,0)</f>
        <v>0</v>
      </c>
      <c r="BC205" s="266">
        <f>IF(AZ205=3,G205,0)</f>
        <v>0</v>
      </c>
      <c r="BD205" s="266">
        <f>IF(AZ205=4,G205,0)</f>
        <v>0</v>
      </c>
      <c r="BE205" s="266">
        <f>IF(AZ205=5,G205,0)</f>
        <v>0</v>
      </c>
      <c r="CA205" s="268">
        <v>1</v>
      </c>
      <c r="CB205" s="268">
        <v>1</v>
      </c>
      <c r="CZ205" s="266">
        <v>0.00063</v>
      </c>
    </row>
    <row r="206" spans="1:15" ht="12.75">
      <c r="A206" s="226"/>
      <c r="B206" s="227"/>
      <c r="C206" s="1588" t="s">
        <v>634</v>
      </c>
      <c r="D206" s="1589"/>
      <c r="E206" s="228">
        <v>0</v>
      </c>
      <c r="F206" s="229"/>
      <c r="G206" s="230"/>
      <c r="M206" s="234" t="s">
        <v>634</v>
      </c>
      <c r="O206" s="268"/>
    </row>
    <row r="207" spans="1:15" ht="12.75">
      <c r="A207" s="226"/>
      <c r="B207" s="227"/>
      <c r="C207" s="1588" t="s">
        <v>635</v>
      </c>
      <c r="D207" s="1589"/>
      <c r="E207" s="228">
        <v>23.76</v>
      </c>
      <c r="F207" s="229"/>
      <c r="G207" s="230"/>
      <c r="M207" s="234" t="s">
        <v>635</v>
      </c>
      <c r="O207" s="268"/>
    </row>
    <row r="208" spans="1:15" ht="12.75">
      <c r="A208" s="226"/>
      <c r="B208" s="227"/>
      <c r="C208" s="1588" t="s">
        <v>636</v>
      </c>
      <c r="D208" s="1589"/>
      <c r="E208" s="228">
        <v>15.96</v>
      </c>
      <c r="F208" s="229"/>
      <c r="G208" s="230"/>
      <c r="M208" s="234" t="s">
        <v>636</v>
      </c>
      <c r="O208" s="268"/>
    </row>
    <row r="209" spans="1:15" ht="12.75">
      <c r="A209" s="226"/>
      <c r="B209" s="227"/>
      <c r="C209" s="1588" t="s">
        <v>637</v>
      </c>
      <c r="D209" s="1589"/>
      <c r="E209" s="228">
        <v>4.32</v>
      </c>
      <c r="F209" s="229"/>
      <c r="G209" s="230"/>
      <c r="M209" s="234" t="s">
        <v>637</v>
      </c>
      <c r="O209" s="268"/>
    </row>
    <row r="210" spans="1:57" ht="12.75">
      <c r="A210" s="236"/>
      <c r="B210" s="237" t="s">
        <v>175</v>
      </c>
      <c r="C210" s="238" t="str">
        <f>CONCATENATE(B192," ",C192)</f>
        <v>62 Úpravy povrchů vnější</v>
      </c>
      <c r="D210" s="239"/>
      <c r="E210" s="240"/>
      <c r="F210" s="241"/>
      <c r="G210" s="242">
        <f>SUM(G192:G209)</f>
        <v>0</v>
      </c>
      <c r="O210" s="268">
        <v>4</v>
      </c>
      <c r="BA210" s="269">
        <f>SUM(BA192:BA209)</f>
        <v>0</v>
      </c>
      <c r="BB210" s="269">
        <f>SUM(BB192:BB209)</f>
        <v>0</v>
      </c>
      <c r="BC210" s="269">
        <f>SUM(BC192:BC209)</f>
        <v>0</v>
      </c>
      <c r="BD210" s="269">
        <f>SUM(BD192:BD209)</f>
        <v>0</v>
      </c>
      <c r="BE210" s="269">
        <f>SUM(BE192:BE209)</f>
        <v>0</v>
      </c>
    </row>
    <row r="211" spans="1:15" ht="12.75">
      <c r="A211" s="207" t="s">
        <v>140</v>
      </c>
      <c r="B211" s="208" t="s">
        <v>639</v>
      </c>
      <c r="C211" s="209" t="s">
        <v>640</v>
      </c>
      <c r="D211" s="210"/>
      <c r="E211" s="211"/>
      <c r="F211" s="211"/>
      <c r="G211" s="212"/>
      <c r="H211" s="267"/>
      <c r="I211" s="267"/>
      <c r="O211" s="268">
        <v>1</v>
      </c>
    </row>
    <row r="212" spans="1:104" ht="12.75">
      <c r="A212" s="218">
        <v>49</v>
      </c>
      <c r="B212" s="219" t="s">
        <v>1293</v>
      </c>
      <c r="C212" s="220" t="s">
        <v>1294</v>
      </c>
      <c r="D212" s="221" t="s">
        <v>154</v>
      </c>
      <c r="E212" s="222">
        <v>0.122</v>
      </c>
      <c r="F212" s="222">
        <v>0</v>
      </c>
      <c r="G212" s="223">
        <f>E212*F212</f>
        <v>0</v>
      </c>
      <c r="O212" s="268">
        <v>2</v>
      </c>
      <c r="AA212" s="266">
        <v>1</v>
      </c>
      <c r="AB212" s="266">
        <v>0</v>
      </c>
      <c r="AC212" s="266">
        <v>0</v>
      </c>
      <c r="AZ212" s="266">
        <v>1</v>
      </c>
      <c r="BA212" s="266">
        <f>IF(AZ212=1,G212,0)</f>
        <v>0</v>
      </c>
      <c r="BB212" s="266">
        <f>IF(AZ212=2,G212,0)</f>
        <v>0</v>
      </c>
      <c r="BC212" s="266">
        <f>IF(AZ212=3,G212,0)</f>
        <v>0</v>
      </c>
      <c r="BD212" s="266">
        <f>IF(AZ212=4,G212,0)</f>
        <v>0</v>
      </c>
      <c r="BE212" s="266">
        <f>IF(AZ212=5,G212,0)</f>
        <v>0</v>
      </c>
      <c r="CA212" s="268">
        <v>1</v>
      </c>
      <c r="CB212" s="268">
        <v>0</v>
      </c>
      <c r="CZ212" s="266">
        <v>2.5</v>
      </c>
    </row>
    <row r="213" spans="1:15" ht="12.75">
      <c r="A213" s="226"/>
      <c r="B213" s="227"/>
      <c r="C213" s="1588" t="s">
        <v>1295</v>
      </c>
      <c r="D213" s="1589"/>
      <c r="E213" s="228">
        <v>0.122</v>
      </c>
      <c r="F213" s="229"/>
      <c r="G213" s="230"/>
      <c r="M213" s="234" t="s">
        <v>1295</v>
      </c>
      <c r="O213" s="268"/>
    </row>
    <row r="214" spans="1:104" ht="12.75">
      <c r="A214" s="218">
        <v>50</v>
      </c>
      <c r="B214" s="219" t="s">
        <v>641</v>
      </c>
      <c r="C214" s="220" t="s">
        <v>642</v>
      </c>
      <c r="D214" s="221" t="s">
        <v>154</v>
      </c>
      <c r="E214" s="222">
        <v>-4.312</v>
      </c>
      <c r="F214" s="222">
        <v>0</v>
      </c>
      <c r="G214" s="223">
        <f>E214*F214</f>
        <v>0</v>
      </c>
      <c r="O214" s="268">
        <v>2</v>
      </c>
      <c r="AA214" s="266">
        <v>1</v>
      </c>
      <c r="AB214" s="266">
        <v>0</v>
      </c>
      <c r="AC214" s="266">
        <v>0</v>
      </c>
      <c r="AZ214" s="266">
        <v>1</v>
      </c>
      <c r="BA214" s="266">
        <f>IF(AZ214=1,G214,0)</f>
        <v>0</v>
      </c>
      <c r="BB214" s="266">
        <f>IF(AZ214=2,G214,0)</f>
        <v>0</v>
      </c>
      <c r="BC214" s="266">
        <f>IF(AZ214=3,G214,0)</f>
        <v>0</v>
      </c>
      <c r="BD214" s="266">
        <f>IF(AZ214=4,G214,0)</f>
        <v>0</v>
      </c>
      <c r="BE214" s="266">
        <f>IF(AZ214=5,G214,0)</f>
        <v>0</v>
      </c>
      <c r="CA214" s="268">
        <v>1</v>
      </c>
      <c r="CB214" s="268">
        <v>0</v>
      </c>
      <c r="CZ214" s="266">
        <v>0</v>
      </c>
    </row>
    <row r="215" spans="1:15" ht="12.75">
      <c r="A215" s="226"/>
      <c r="B215" s="227"/>
      <c r="C215" s="1588" t="s">
        <v>1296</v>
      </c>
      <c r="D215" s="1589"/>
      <c r="E215" s="228">
        <v>-4.312</v>
      </c>
      <c r="F215" s="229"/>
      <c r="G215" s="230"/>
      <c r="M215" s="234" t="s">
        <v>1296</v>
      </c>
      <c r="O215" s="268"/>
    </row>
    <row r="216" spans="1:104" ht="20.4">
      <c r="A216" s="218">
        <v>51</v>
      </c>
      <c r="B216" s="219" t="s">
        <v>643</v>
      </c>
      <c r="C216" s="220" t="s">
        <v>644</v>
      </c>
      <c r="D216" s="221" t="s">
        <v>145</v>
      </c>
      <c r="E216" s="222">
        <v>1.79</v>
      </c>
      <c r="F216" s="222">
        <v>0</v>
      </c>
      <c r="G216" s="223">
        <f>E216*F216</f>
        <v>0</v>
      </c>
      <c r="O216" s="268">
        <v>2</v>
      </c>
      <c r="AA216" s="266">
        <v>1</v>
      </c>
      <c r="AB216" s="266">
        <v>1</v>
      </c>
      <c r="AC216" s="266">
        <v>1</v>
      </c>
      <c r="AZ216" s="266">
        <v>1</v>
      </c>
      <c r="BA216" s="266">
        <f>IF(AZ216=1,G216,0)</f>
        <v>0</v>
      </c>
      <c r="BB216" s="266">
        <f>IF(AZ216=2,G216,0)</f>
        <v>0</v>
      </c>
      <c r="BC216" s="266">
        <f>IF(AZ216=3,G216,0)</f>
        <v>0</v>
      </c>
      <c r="BD216" s="266">
        <f>IF(AZ216=4,G216,0)</f>
        <v>0</v>
      </c>
      <c r="BE216" s="266">
        <f>IF(AZ216=5,G216,0)</f>
        <v>0</v>
      </c>
      <c r="CA216" s="268">
        <v>1</v>
      </c>
      <c r="CB216" s="268">
        <v>1</v>
      </c>
      <c r="CZ216" s="266">
        <v>0.095</v>
      </c>
    </row>
    <row r="217" spans="1:15" ht="12.75">
      <c r="A217" s="226"/>
      <c r="B217" s="227"/>
      <c r="C217" s="1588" t="s">
        <v>683</v>
      </c>
      <c r="D217" s="1589"/>
      <c r="E217" s="228">
        <v>0</v>
      </c>
      <c r="F217" s="229"/>
      <c r="G217" s="230"/>
      <c r="M217" s="234" t="s">
        <v>683</v>
      </c>
      <c r="O217" s="268"/>
    </row>
    <row r="218" spans="1:15" ht="12.75">
      <c r="A218" s="226"/>
      <c r="B218" s="227"/>
      <c r="C218" s="1588" t="s">
        <v>1255</v>
      </c>
      <c r="D218" s="1589"/>
      <c r="E218" s="228">
        <v>11.44</v>
      </c>
      <c r="F218" s="229"/>
      <c r="G218" s="230"/>
      <c r="M218" s="234" t="s">
        <v>1255</v>
      </c>
      <c r="O218" s="268"/>
    </row>
    <row r="219" spans="1:15" ht="12.75">
      <c r="A219" s="226"/>
      <c r="B219" s="227"/>
      <c r="C219" s="1588" t="s">
        <v>1257</v>
      </c>
      <c r="D219" s="1589"/>
      <c r="E219" s="228">
        <v>3.85</v>
      </c>
      <c r="F219" s="229"/>
      <c r="G219" s="230"/>
      <c r="M219" s="234" t="s">
        <v>1257</v>
      </c>
      <c r="O219" s="268"/>
    </row>
    <row r="220" spans="1:15" ht="12.75">
      <c r="A220" s="226"/>
      <c r="B220" s="227"/>
      <c r="C220" s="1588" t="s">
        <v>1258</v>
      </c>
      <c r="D220" s="1589"/>
      <c r="E220" s="228">
        <v>10.84</v>
      </c>
      <c r="F220" s="229"/>
      <c r="G220" s="230"/>
      <c r="M220" s="234" t="s">
        <v>1258</v>
      </c>
      <c r="O220" s="268"/>
    </row>
    <row r="221" spans="1:15" ht="12.75">
      <c r="A221" s="226"/>
      <c r="B221" s="227"/>
      <c r="C221" s="1588" t="s">
        <v>1259</v>
      </c>
      <c r="D221" s="1589"/>
      <c r="E221" s="228">
        <v>2.36</v>
      </c>
      <c r="F221" s="229"/>
      <c r="G221" s="230"/>
      <c r="M221" s="234" t="s">
        <v>1259</v>
      </c>
      <c r="O221" s="268"/>
    </row>
    <row r="222" spans="1:15" ht="12.75">
      <c r="A222" s="226"/>
      <c r="B222" s="227"/>
      <c r="C222" s="1588" t="s">
        <v>1260</v>
      </c>
      <c r="D222" s="1589"/>
      <c r="E222" s="228">
        <v>3.87</v>
      </c>
      <c r="F222" s="229"/>
      <c r="G222" s="230"/>
      <c r="M222" s="234" t="s">
        <v>1260</v>
      </c>
      <c r="O222" s="268"/>
    </row>
    <row r="223" spans="1:15" ht="12.75">
      <c r="A223" s="226"/>
      <c r="B223" s="227"/>
      <c r="C223" s="1588" t="s">
        <v>1261</v>
      </c>
      <c r="D223" s="1589"/>
      <c r="E223" s="228">
        <v>3.96</v>
      </c>
      <c r="F223" s="229"/>
      <c r="G223" s="230"/>
      <c r="M223" s="234" t="s">
        <v>1261</v>
      </c>
      <c r="O223" s="268"/>
    </row>
    <row r="224" spans="1:15" ht="12.75">
      <c r="A224" s="226"/>
      <c r="B224" s="227"/>
      <c r="C224" s="1588" t="s">
        <v>1262</v>
      </c>
      <c r="D224" s="1589"/>
      <c r="E224" s="228">
        <v>8.59</v>
      </c>
      <c r="F224" s="229"/>
      <c r="G224" s="230"/>
      <c r="M224" s="234" t="s">
        <v>1262</v>
      </c>
      <c r="O224" s="268"/>
    </row>
    <row r="225" spans="1:15" ht="12.75">
      <c r="A225" s="226"/>
      <c r="B225" s="227"/>
      <c r="C225" s="1588" t="s">
        <v>1297</v>
      </c>
      <c r="D225" s="1589"/>
      <c r="E225" s="228">
        <v>-43.12</v>
      </c>
      <c r="F225" s="229"/>
      <c r="G225" s="230"/>
      <c r="M225" s="234" t="s">
        <v>1297</v>
      </c>
      <c r="O225" s="268"/>
    </row>
    <row r="226" spans="1:57" ht="12.75">
      <c r="A226" s="236"/>
      <c r="B226" s="237" t="s">
        <v>175</v>
      </c>
      <c r="C226" s="238" t="str">
        <f>CONCATENATE(B211," ",C211)</f>
        <v>63 Podlahy a podlahové konstrukce</v>
      </c>
      <c r="D226" s="239"/>
      <c r="E226" s="240"/>
      <c r="F226" s="241"/>
      <c r="G226" s="242">
        <f>SUM(G211:G225)</f>
        <v>0</v>
      </c>
      <c r="O226" s="268">
        <v>4</v>
      </c>
      <c r="BA226" s="269">
        <f>SUM(BA211:BA225)</f>
        <v>0</v>
      </c>
      <c r="BB226" s="269">
        <f>SUM(BB211:BB225)</f>
        <v>0</v>
      </c>
      <c r="BC226" s="269">
        <f>SUM(BC211:BC225)</f>
        <v>0</v>
      </c>
      <c r="BD226" s="269">
        <f>SUM(BD211:BD225)</f>
        <v>0</v>
      </c>
      <c r="BE226" s="269">
        <f>SUM(BE211:BE225)</f>
        <v>0</v>
      </c>
    </row>
    <row r="227" spans="1:15" ht="12.75">
      <c r="A227" s="207" t="s">
        <v>140</v>
      </c>
      <c r="B227" s="208" t="s">
        <v>348</v>
      </c>
      <c r="C227" s="209" t="s">
        <v>347</v>
      </c>
      <c r="D227" s="210"/>
      <c r="E227" s="211"/>
      <c r="F227" s="211"/>
      <c r="G227" s="212"/>
      <c r="H227" s="267"/>
      <c r="I227" s="267"/>
      <c r="O227" s="268">
        <v>1</v>
      </c>
    </row>
    <row r="228" spans="1:104" ht="12.75">
      <c r="A228" s="218">
        <v>52</v>
      </c>
      <c r="B228" s="219" t="s">
        <v>654</v>
      </c>
      <c r="C228" s="220" t="s">
        <v>655</v>
      </c>
      <c r="D228" s="221" t="s">
        <v>231</v>
      </c>
      <c r="E228" s="222">
        <v>14.461</v>
      </c>
      <c r="F228" s="222">
        <v>0</v>
      </c>
      <c r="G228" s="223">
        <f>E228*F228</f>
        <v>0</v>
      </c>
      <c r="O228" s="268">
        <v>2</v>
      </c>
      <c r="AA228" s="266">
        <v>1</v>
      </c>
      <c r="AB228" s="266">
        <v>1</v>
      </c>
      <c r="AC228" s="266">
        <v>1</v>
      </c>
      <c r="AZ228" s="266">
        <v>1</v>
      </c>
      <c r="BA228" s="266">
        <f>IF(AZ228=1,G228,0)</f>
        <v>0</v>
      </c>
      <c r="BB228" s="266">
        <f>IF(AZ228=2,G228,0)</f>
        <v>0</v>
      </c>
      <c r="BC228" s="266">
        <f>IF(AZ228=3,G228,0)</f>
        <v>0</v>
      </c>
      <c r="BD228" s="266">
        <f>IF(AZ228=4,G228,0)</f>
        <v>0</v>
      </c>
      <c r="BE228" s="266">
        <f>IF(AZ228=5,G228,0)</f>
        <v>0</v>
      </c>
      <c r="CA228" s="268">
        <v>1</v>
      </c>
      <c r="CB228" s="268">
        <v>1</v>
      </c>
      <c r="CZ228" s="266">
        <v>0.08545</v>
      </c>
    </row>
    <row r="229" spans="1:15" ht="12.75">
      <c r="A229" s="226"/>
      <c r="B229" s="227"/>
      <c r="C229" s="1588" t="s">
        <v>1298</v>
      </c>
      <c r="D229" s="1589"/>
      <c r="E229" s="228">
        <v>42.961</v>
      </c>
      <c r="F229" s="229"/>
      <c r="G229" s="230"/>
      <c r="M229" s="234" t="s">
        <v>1298</v>
      </c>
      <c r="O229" s="268"/>
    </row>
    <row r="230" spans="1:15" ht="12.75">
      <c r="A230" s="226"/>
      <c r="B230" s="227"/>
      <c r="C230" s="1588" t="s">
        <v>1299</v>
      </c>
      <c r="D230" s="1589"/>
      <c r="E230" s="228">
        <v>-28.5</v>
      </c>
      <c r="F230" s="229"/>
      <c r="G230" s="230"/>
      <c r="M230" s="234" t="s">
        <v>1299</v>
      </c>
      <c r="O230" s="268"/>
    </row>
    <row r="231" spans="1:104" ht="12.75">
      <c r="A231" s="218">
        <v>53</v>
      </c>
      <c r="B231" s="219" t="s">
        <v>657</v>
      </c>
      <c r="C231" s="220" t="s">
        <v>658</v>
      </c>
      <c r="D231" s="221" t="s">
        <v>196</v>
      </c>
      <c r="E231" s="222">
        <v>30</v>
      </c>
      <c r="F231" s="222">
        <v>0</v>
      </c>
      <c r="G231" s="223">
        <f>E231*F231</f>
        <v>0</v>
      </c>
      <c r="O231" s="268">
        <v>2</v>
      </c>
      <c r="AA231" s="266">
        <v>3</v>
      </c>
      <c r="AB231" s="266">
        <v>1</v>
      </c>
      <c r="AC231" s="266">
        <v>59217337</v>
      </c>
      <c r="AZ231" s="266">
        <v>1</v>
      </c>
      <c r="BA231" s="266">
        <f>IF(AZ231=1,G231,0)</f>
        <v>0</v>
      </c>
      <c r="BB231" s="266">
        <f>IF(AZ231=2,G231,0)</f>
        <v>0</v>
      </c>
      <c r="BC231" s="266">
        <f>IF(AZ231=3,G231,0)</f>
        <v>0</v>
      </c>
      <c r="BD231" s="266">
        <f>IF(AZ231=4,G231,0)</f>
        <v>0</v>
      </c>
      <c r="BE231" s="266">
        <f>IF(AZ231=5,G231,0)</f>
        <v>0</v>
      </c>
      <c r="CA231" s="268">
        <v>3</v>
      </c>
      <c r="CB231" s="268">
        <v>1</v>
      </c>
      <c r="CZ231" s="266">
        <v>0.014</v>
      </c>
    </row>
    <row r="232" spans="1:15" ht="12.75">
      <c r="A232" s="226"/>
      <c r="B232" s="227"/>
      <c r="C232" s="1598" t="s">
        <v>197</v>
      </c>
      <c r="D232" s="1589"/>
      <c r="E232" s="246">
        <v>0</v>
      </c>
      <c r="F232" s="229"/>
      <c r="G232" s="230"/>
      <c r="M232" s="234" t="s">
        <v>197</v>
      </c>
      <c r="O232" s="268"/>
    </row>
    <row r="233" spans="1:15" ht="12.75">
      <c r="A233" s="226"/>
      <c r="B233" s="227"/>
      <c r="C233" s="1598" t="s">
        <v>1298</v>
      </c>
      <c r="D233" s="1589"/>
      <c r="E233" s="246">
        <v>42.961</v>
      </c>
      <c r="F233" s="229"/>
      <c r="G233" s="230"/>
      <c r="M233" s="234" t="s">
        <v>1298</v>
      </c>
      <c r="O233" s="268"/>
    </row>
    <row r="234" spans="1:15" ht="12.75">
      <c r="A234" s="226"/>
      <c r="B234" s="227"/>
      <c r="C234" s="1598" t="s">
        <v>199</v>
      </c>
      <c r="D234" s="1589"/>
      <c r="E234" s="246">
        <v>42.961</v>
      </c>
      <c r="F234" s="229"/>
      <c r="G234" s="230"/>
      <c r="M234" s="234" t="s">
        <v>199</v>
      </c>
      <c r="O234" s="268"/>
    </row>
    <row r="235" spans="1:15" ht="12.75">
      <c r="A235" s="226"/>
      <c r="B235" s="227"/>
      <c r="C235" s="1588" t="s">
        <v>1300</v>
      </c>
      <c r="D235" s="1589"/>
      <c r="E235" s="228">
        <v>90</v>
      </c>
      <c r="F235" s="229"/>
      <c r="G235" s="230"/>
      <c r="M235" s="234">
        <v>90</v>
      </c>
      <c r="O235" s="268"/>
    </row>
    <row r="236" spans="1:15" ht="12.75">
      <c r="A236" s="226"/>
      <c r="B236" s="227"/>
      <c r="C236" s="1588" t="s">
        <v>1301</v>
      </c>
      <c r="D236" s="1589"/>
      <c r="E236" s="228">
        <v>-60</v>
      </c>
      <c r="F236" s="229"/>
      <c r="G236" s="230"/>
      <c r="M236" s="234">
        <v>-60</v>
      </c>
      <c r="O236" s="268"/>
    </row>
    <row r="237" spans="1:57" ht="12.75">
      <c r="A237" s="236"/>
      <c r="B237" s="237" t="s">
        <v>175</v>
      </c>
      <c r="C237" s="238" t="str">
        <f>CONCATENATE(B227," ",C227)</f>
        <v>91 Doplňující práce na komunikaci</v>
      </c>
      <c r="D237" s="239"/>
      <c r="E237" s="240"/>
      <c r="F237" s="241"/>
      <c r="G237" s="242">
        <f>SUM(G227:G236)</f>
        <v>0</v>
      </c>
      <c r="O237" s="268">
        <v>4</v>
      </c>
      <c r="BA237" s="269">
        <f>SUM(BA227:BA236)</f>
        <v>0</v>
      </c>
      <c r="BB237" s="269">
        <f>SUM(BB227:BB236)</f>
        <v>0</v>
      </c>
      <c r="BC237" s="269">
        <f>SUM(BC227:BC236)</f>
        <v>0</v>
      </c>
      <c r="BD237" s="269">
        <f>SUM(BD227:BD236)</f>
        <v>0</v>
      </c>
      <c r="BE237" s="269">
        <f>SUM(BE227:BE236)</f>
        <v>0</v>
      </c>
    </row>
    <row r="238" spans="1:15" ht="12.75">
      <c r="A238" s="207" t="s">
        <v>140</v>
      </c>
      <c r="B238" s="208" t="s">
        <v>234</v>
      </c>
      <c r="C238" s="209" t="s">
        <v>235</v>
      </c>
      <c r="D238" s="210"/>
      <c r="E238" s="211"/>
      <c r="F238" s="211"/>
      <c r="G238" s="212"/>
      <c r="H238" s="267"/>
      <c r="I238" s="267"/>
      <c r="O238" s="268">
        <v>1</v>
      </c>
    </row>
    <row r="239" spans="1:104" ht="12.75">
      <c r="A239" s="218">
        <v>54</v>
      </c>
      <c r="B239" s="219" t="s">
        <v>665</v>
      </c>
      <c r="C239" s="220" t="s">
        <v>666</v>
      </c>
      <c r="D239" s="221" t="s">
        <v>166</v>
      </c>
      <c r="E239" s="222">
        <v>1.689154749</v>
      </c>
      <c r="F239" s="222">
        <v>0</v>
      </c>
      <c r="G239" s="223">
        <f>E239*F239</f>
        <v>0</v>
      </c>
      <c r="O239" s="268">
        <v>2</v>
      </c>
      <c r="AA239" s="266">
        <v>7</v>
      </c>
      <c r="AB239" s="266">
        <v>1</v>
      </c>
      <c r="AC239" s="266">
        <v>2</v>
      </c>
      <c r="AZ239" s="266">
        <v>1</v>
      </c>
      <c r="BA239" s="266">
        <f>IF(AZ239=1,G239,0)</f>
        <v>0</v>
      </c>
      <c r="BB239" s="266">
        <f>IF(AZ239=2,G239,0)</f>
        <v>0</v>
      </c>
      <c r="BC239" s="266">
        <f>IF(AZ239=3,G239,0)</f>
        <v>0</v>
      </c>
      <c r="BD239" s="266">
        <f>IF(AZ239=4,G239,0)</f>
        <v>0</v>
      </c>
      <c r="BE239" s="266">
        <f>IF(AZ239=5,G239,0)</f>
        <v>0</v>
      </c>
      <c r="CA239" s="268">
        <v>7</v>
      </c>
      <c r="CB239" s="268">
        <v>1</v>
      </c>
      <c r="CZ239" s="266">
        <v>0</v>
      </c>
    </row>
    <row r="240" spans="1:57" ht="12.75">
      <c r="A240" s="236"/>
      <c r="B240" s="237" t="s">
        <v>175</v>
      </c>
      <c r="C240" s="238" t="str">
        <f>CONCATENATE(B238," ",C238)</f>
        <v>99 Staveništní přesun hmot</v>
      </c>
      <c r="D240" s="239"/>
      <c r="E240" s="240"/>
      <c r="F240" s="241"/>
      <c r="G240" s="242">
        <f>SUM(G238:G239)</f>
        <v>0</v>
      </c>
      <c r="O240" s="268">
        <v>4</v>
      </c>
      <c r="BA240" s="269">
        <f>SUM(BA238:BA239)</f>
        <v>0</v>
      </c>
      <c r="BB240" s="269">
        <f>SUM(BB238:BB239)</f>
        <v>0</v>
      </c>
      <c r="BC240" s="269">
        <f>SUM(BC238:BC239)</f>
        <v>0</v>
      </c>
      <c r="BD240" s="269">
        <f>SUM(BD238:BD239)</f>
        <v>0</v>
      </c>
      <c r="BE240" s="269">
        <f>SUM(BE238:BE239)</f>
        <v>0</v>
      </c>
    </row>
    <row r="241" spans="1:15" ht="12.75">
      <c r="A241" s="207" t="s">
        <v>140</v>
      </c>
      <c r="B241" s="208" t="s">
        <v>667</v>
      </c>
      <c r="C241" s="209" t="s">
        <v>668</v>
      </c>
      <c r="D241" s="210"/>
      <c r="E241" s="211"/>
      <c r="F241" s="211"/>
      <c r="G241" s="212"/>
      <c r="H241" s="267"/>
      <c r="I241" s="267"/>
      <c r="O241" s="268">
        <v>1</v>
      </c>
    </row>
    <row r="242" spans="1:104" ht="20.4">
      <c r="A242" s="218">
        <v>55</v>
      </c>
      <c r="B242" s="219" t="s">
        <v>669</v>
      </c>
      <c r="C242" s="220" t="s">
        <v>670</v>
      </c>
      <c r="D242" s="221" t="s">
        <v>145</v>
      </c>
      <c r="E242" s="222">
        <v>-8.75</v>
      </c>
      <c r="F242" s="222">
        <v>0</v>
      </c>
      <c r="G242" s="223">
        <f>E242*F242</f>
        <v>0</v>
      </c>
      <c r="O242" s="268">
        <v>2</v>
      </c>
      <c r="AA242" s="266">
        <v>1</v>
      </c>
      <c r="AB242" s="266">
        <v>7</v>
      </c>
      <c r="AC242" s="266">
        <v>7</v>
      </c>
      <c r="AZ242" s="266">
        <v>2</v>
      </c>
      <c r="BA242" s="266">
        <f>IF(AZ242=1,G242,0)</f>
        <v>0</v>
      </c>
      <c r="BB242" s="266">
        <f>IF(AZ242=2,G242,0)</f>
        <v>0</v>
      </c>
      <c r="BC242" s="266">
        <f>IF(AZ242=3,G242,0)</f>
        <v>0</v>
      </c>
      <c r="BD242" s="266">
        <f>IF(AZ242=4,G242,0)</f>
        <v>0</v>
      </c>
      <c r="BE242" s="266">
        <f>IF(AZ242=5,G242,0)</f>
        <v>0</v>
      </c>
      <c r="CA242" s="268">
        <v>1</v>
      </c>
      <c r="CB242" s="268">
        <v>7</v>
      </c>
      <c r="CZ242" s="266">
        <v>0.0004</v>
      </c>
    </row>
    <row r="243" spans="1:15" ht="12.75">
      <c r="A243" s="226"/>
      <c r="B243" s="227"/>
      <c r="C243" s="1588" t="s">
        <v>1302</v>
      </c>
      <c r="D243" s="1589"/>
      <c r="E243" s="228">
        <v>55.29</v>
      </c>
      <c r="F243" s="229"/>
      <c r="G243" s="230"/>
      <c r="M243" s="234" t="s">
        <v>1302</v>
      </c>
      <c r="O243" s="268"/>
    </row>
    <row r="244" spans="1:15" ht="12.75">
      <c r="A244" s="226"/>
      <c r="B244" s="227"/>
      <c r="C244" s="1588" t="s">
        <v>1303</v>
      </c>
      <c r="D244" s="1589"/>
      <c r="E244" s="228">
        <v>0.5</v>
      </c>
      <c r="F244" s="229"/>
      <c r="G244" s="230"/>
      <c r="M244" s="234" t="s">
        <v>1303</v>
      </c>
      <c r="O244" s="268"/>
    </row>
    <row r="245" spans="1:15" ht="12.75">
      <c r="A245" s="226"/>
      <c r="B245" s="227"/>
      <c r="C245" s="1588" t="s">
        <v>1304</v>
      </c>
      <c r="D245" s="1589"/>
      <c r="E245" s="228">
        <v>-64.54</v>
      </c>
      <c r="F245" s="229"/>
      <c r="G245" s="230"/>
      <c r="M245" s="234" t="s">
        <v>1304</v>
      </c>
      <c r="O245" s="268"/>
    </row>
    <row r="246" spans="1:104" ht="20.4">
      <c r="A246" s="218">
        <v>56</v>
      </c>
      <c r="B246" s="219" t="s">
        <v>673</v>
      </c>
      <c r="C246" s="220" t="s">
        <v>674</v>
      </c>
      <c r="D246" s="221" t="s">
        <v>145</v>
      </c>
      <c r="E246" s="222">
        <v>8.16</v>
      </c>
      <c r="F246" s="222">
        <v>0</v>
      </c>
      <c r="G246" s="223">
        <f>E246*F246</f>
        <v>0</v>
      </c>
      <c r="O246" s="268">
        <v>2</v>
      </c>
      <c r="AA246" s="266">
        <v>1</v>
      </c>
      <c r="AB246" s="266">
        <v>7</v>
      </c>
      <c r="AC246" s="266">
        <v>7</v>
      </c>
      <c r="AZ246" s="266">
        <v>2</v>
      </c>
      <c r="BA246" s="266">
        <f>IF(AZ246=1,G246,0)</f>
        <v>0</v>
      </c>
      <c r="BB246" s="266">
        <f>IF(AZ246=2,G246,0)</f>
        <v>0</v>
      </c>
      <c r="BC246" s="266">
        <f>IF(AZ246=3,G246,0)</f>
        <v>0</v>
      </c>
      <c r="BD246" s="266">
        <f>IF(AZ246=4,G246,0)</f>
        <v>0</v>
      </c>
      <c r="BE246" s="266">
        <f>IF(AZ246=5,G246,0)</f>
        <v>0</v>
      </c>
      <c r="CA246" s="268">
        <v>1</v>
      </c>
      <c r="CB246" s="268">
        <v>7</v>
      </c>
      <c r="CZ246" s="266">
        <v>0.00067</v>
      </c>
    </row>
    <row r="247" spans="1:15" ht="12.75">
      <c r="A247" s="226"/>
      <c r="B247" s="227"/>
      <c r="C247" s="1588" t="s">
        <v>1305</v>
      </c>
      <c r="D247" s="1589"/>
      <c r="E247" s="228">
        <v>25.28</v>
      </c>
      <c r="F247" s="229"/>
      <c r="G247" s="230"/>
      <c r="M247" s="234" t="s">
        <v>1305</v>
      </c>
      <c r="O247" s="268"/>
    </row>
    <row r="248" spans="1:15" ht="12.75">
      <c r="A248" s="226"/>
      <c r="B248" s="227"/>
      <c r="C248" s="1588" t="s">
        <v>1306</v>
      </c>
      <c r="D248" s="1589"/>
      <c r="E248" s="228">
        <v>-17.12</v>
      </c>
      <c r="F248" s="229"/>
      <c r="G248" s="230"/>
      <c r="M248" s="234" t="s">
        <v>1306</v>
      </c>
      <c r="O248" s="268"/>
    </row>
    <row r="249" spans="1:104" ht="12.75">
      <c r="A249" s="218">
        <v>57</v>
      </c>
      <c r="B249" s="219" t="s">
        <v>1307</v>
      </c>
      <c r="C249" s="220" t="s">
        <v>1308</v>
      </c>
      <c r="D249" s="221" t="s">
        <v>145</v>
      </c>
      <c r="E249" s="222">
        <v>6.16</v>
      </c>
      <c r="F249" s="222">
        <v>0</v>
      </c>
      <c r="G249" s="223">
        <f>E249*F249</f>
        <v>0</v>
      </c>
      <c r="O249" s="268">
        <v>2</v>
      </c>
      <c r="AA249" s="266">
        <v>1</v>
      </c>
      <c r="AB249" s="266">
        <v>7</v>
      </c>
      <c r="AC249" s="266">
        <v>7</v>
      </c>
      <c r="AZ249" s="266">
        <v>2</v>
      </c>
      <c r="BA249" s="266">
        <f>IF(AZ249=1,G249,0)</f>
        <v>0</v>
      </c>
      <c r="BB249" s="266">
        <f>IF(AZ249=2,G249,0)</f>
        <v>0</v>
      </c>
      <c r="BC249" s="266">
        <f>IF(AZ249=3,G249,0)</f>
        <v>0</v>
      </c>
      <c r="BD249" s="266">
        <f>IF(AZ249=4,G249,0)</f>
        <v>0</v>
      </c>
      <c r="BE249" s="266">
        <f>IF(AZ249=5,G249,0)</f>
        <v>0</v>
      </c>
      <c r="CA249" s="268">
        <v>1</v>
      </c>
      <c r="CB249" s="268">
        <v>7</v>
      </c>
      <c r="CZ249" s="266">
        <v>8E-05</v>
      </c>
    </row>
    <row r="250" spans="1:15" ht="12.75">
      <c r="A250" s="226"/>
      <c r="B250" s="227"/>
      <c r="C250" s="1588" t="s">
        <v>1227</v>
      </c>
      <c r="D250" s="1589"/>
      <c r="E250" s="228">
        <v>6.16</v>
      </c>
      <c r="F250" s="229"/>
      <c r="G250" s="230"/>
      <c r="M250" s="234" t="s">
        <v>1227</v>
      </c>
      <c r="O250" s="268"/>
    </row>
    <row r="251" spans="1:104" ht="20.4">
      <c r="A251" s="218">
        <v>58</v>
      </c>
      <c r="B251" s="219" t="s">
        <v>677</v>
      </c>
      <c r="C251" s="220" t="s">
        <v>678</v>
      </c>
      <c r="D251" s="221" t="s">
        <v>145</v>
      </c>
      <c r="E251" s="222">
        <v>-8.75</v>
      </c>
      <c r="F251" s="222">
        <v>0</v>
      </c>
      <c r="G251" s="223">
        <f>E251*F251</f>
        <v>0</v>
      </c>
      <c r="O251" s="268">
        <v>2</v>
      </c>
      <c r="AA251" s="266">
        <v>1</v>
      </c>
      <c r="AB251" s="266">
        <v>7</v>
      </c>
      <c r="AC251" s="266">
        <v>7</v>
      </c>
      <c r="AZ251" s="266">
        <v>2</v>
      </c>
      <c r="BA251" s="266">
        <f>IF(AZ251=1,G251,0)</f>
        <v>0</v>
      </c>
      <c r="BB251" s="266">
        <f>IF(AZ251=2,G251,0)</f>
        <v>0</v>
      </c>
      <c r="BC251" s="266">
        <f>IF(AZ251=3,G251,0)</f>
        <v>0</v>
      </c>
      <c r="BD251" s="266">
        <f>IF(AZ251=4,G251,0)</f>
        <v>0</v>
      </c>
      <c r="BE251" s="266">
        <f>IF(AZ251=5,G251,0)</f>
        <v>0</v>
      </c>
      <c r="CA251" s="268">
        <v>1</v>
      </c>
      <c r="CB251" s="268">
        <v>7</v>
      </c>
      <c r="CZ251" s="266">
        <v>0.0057</v>
      </c>
    </row>
    <row r="252" spans="1:15" ht="12.75">
      <c r="A252" s="226"/>
      <c r="B252" s="227"/>
      <c r="C252" s="1588" t="s">
        <v>1302</v>
      </c>
      <c r="D252" s="1589"/>
      <c r="E252" s="228">
        <v>55.29</v>
      </c>
      <c r="F252" s="229"/>
      <c r="G252" s="230"/>
      <c r="M252" s="234" t="s">
        <v>1302</v>
      </c>
      <c r="O252" s="268"/>
    </row>
    <row r="253" spans="1:15" ht="12.75">
      <c r="A253" s="226"/>
      <c r="B253" s="227"/>
      <c r="C253" s="1588" t="s">
        <v>1303</v>
      </c>
      <c r="D253" s="1589"/>
      <c r="E253" s="228">
        <v>0.5</v>
      </c>
      <c r="F253" s="229"/>
      <c r="G253" s="230"/>
      <c r="M253" s="234" t="s">
        <v>1303</v>
      </c>
      <c r="O253" s="268"/>
    </row>
    <row r="254" spans="1:15" ht="12.75">
      <c r="A254" s="226"/>
      <c r="B254" s="227"/>
      <c r="C254" s="1588" t="s">
        <v>1304</v>
      </c>
      <c r="D254" s="1589"/>
      <c r="E254" s="228">
        <v>-64.54</v>
      </c>
      <c r="F254" s="229"/>
      <c r="G254" s="230"/>
      <c r="M254" s="234" t="s">
        <v>1304</v>
      </c>
      <c r="O254" s="268"/>
    </row>
    <row r="255" spans="1:104" ht="20.4">
      <c r="A255" s="218">
        <v>59</v>
      </c>
      <c r="B255" s="219" t="s">
        <v>679</v>
      </c>
      <c r="C255" s="220" t="s">
        <v>680</v>
      </c>
      <c r="D255" s="221" t="s">
        <v>145</v>
      </c>
      <c r="E255" s="222">
        <v>8.16</v>
      </c>
      <c r="F255" s="222">
        <v>0</v>
      </c>
      <c r="G255" s="223">
        <f>E255*F255</f>
        <v>0</v>
      </c>
      <c r="O255" s="268">
        <v>2</v>
      </c>
      <c r="AA255" s="266">
        <v>1</v>
      </c>
      <c r="AB255" s="266">
        <v>7</v>
      </c>
      <c r="AC255" s="266">
        <v>7</v>
      </c>
      <c r="AZ255" s="266">
        <v>2</v>
      </c>
      <c r="BA255" s="266">
        <f>IF(AZ255=1,G255,0)</f>
        <v>0</v>
      </c>
      <c r="BB255" s="266">
        <f>IF(AZ255=2,G255,0)</f>
        <v>0</v>
      </c>
      <c r="BC255" s="266">
        <f>IF(AZ255=3,G255,0)</f>
        <v>0</v>
      </c>
      <c r="BD255" s="266">
        <f>IF(AZ255=4,G255,0)</f>
        <v>0</v>
      </c>
      <c r="BE255" s="266">
        <f>IF(AZ255=5,G255,0)</f>
        <v>0</v>
      </c>
      <c r="CA255" s="268">
        <v>1</v>
      </c>
      <c r="CB255" s="268">
        <v>7</v>
      </c>
      <c r="CZ255" s="266">
        <v>0.0061</v>
      </c>
    </row>
    <row r="256" spans="1:15" ht="12.75">
      <c r="A256" s="226"/>
      <c r="B256" s="227"/>
      <c r="C256" s="1588" t="s">
        <v>1305</v>
      </c>
      <c r="D256" s="1589"/>
      <c r="E256" s="228">
        <v>25.28</v>
      </c>
      <c r="F256" s="229"/>
      <c r="G256" s="230"/>
      <c r="M256" s="234" t="s">
        <v>1305</v>
      </c>
      <c r="O256" s="268"/>
    </row>
    <row r="257" spans="1:15" ht="12.75">
      <c r="A257" s="226"/>
      <c r="B257" s="227"/>
      <c r="C257" s="1588" t="s">
        <v>1306</v>
      </c>
      <c r="D257" s="1589"/>
      <c r="E257" s="228">
        <v>-17.12</v>
      </c>
      <c r="F257" s="229"/>
      <c r="G257" s="230"/>
      <c r="M257" s="234" t="s">
        <v>1306</v>
      </c>
      <c r="O257" s="268"/>
    </row>
    <row r="258" spans="1:104" ht="12.75">
      <c r="A258" s="218">
        <v>60</v>
      </c>
      <c r="B258" s="219" t="s">
        <v>681</v>
      </c>
      <c r="C258" s="220" t="s">
        <v>682</v>
      </c>
      <c r="D258" s="221" t="s">
        <v>145</v>
      </c>
      <c r="E258" s="222">
        <v>-33.3725</v>
      </c>
      <c r="F258" s="222">
        <v>0</v>
      </c>
      <c r="G258" s="223">
        <f>E258*F258</f>
        <v>0</v>
      </c>
      <c r="O258" s="268">
        <v>2</v>
      </c>
      <c r="AA258" s="266">
        <v>1</v>
      </c>
      <c r="AB258" s="266">
        <v>7</v>
      </c>
      <c r="AC258" s="266">
        <v>7</v>
      </c>
      <c r="AZ258" s="266">
        <v>2</v>
      </c>
      <c r="BA258" s="266">
        <f>IF(AZ258=1,G258,0)</f>
        <v>0</v>
      </c>
      <c r="BB258" s="266">
        <f>IF(AZ258=2,G258,0)</f>
        <v>0</v>
      </c>
      <c r="BC258" s="266">
        <f>IF(AZ258=3,G258,0)</f>
        <v>0</v>
      </c>
      <c r="BD258" s="266">
        <f>IF(AZ258=4,G258,0)</f>
        <v>0</v>
      </c>
      <c r="BE258" s="266">
        <f>IF(AZ258=5,G258,0)</f>
        <v>0</v>
      </c>
      <c r="CA258" s="268">
        <v>1</v>
      </c>
      <c r="CB258" s="268">
        <v>7</v>
      </c>
      <c r="CZ258" s="266">
        <v>0.00021</v>
      </c>
    </row>
    <row r="259" spans="1:15" ht="12.75">
      <c r="A259" s="226"/>
      <c r="B259" s="227"/>
      <c r="C259" s="1598" t="s">
        <v>197</v>
      </c>
      <c r="D259" s="1589"/>
      <c r="E259" s="246">
        <v>0</v>
      </c>
      <c r="F259" s="229"/>
      <c r="G259" s="230"/>
      <c r="M259" s="234" t="s">
        <v>197</v>
      </c>
      <c r="O259" s="268"/>
    </row>
    <row r="260" spans="1:15" ht="12.75">
      <c r="A260" s="226"/>
      <c r="B260" s="227"/>
      <c r="C260" s="1598" t="s">
        <v>683</v>
      </c>
      <c r="D260" s="1589"/>
      <c r="E260" s="246">
        <v>0</v>
      </c>
      <c r="F260" s="229"/>
      <c r="G260" s="230"/>
      <c r="M260" s="234" t="s">
        <v>683</v>
      </c>
      <c r="O260" s="268"/>
    </row>
    <row r="261" spans="1:15" ht="12.75">
      <c r="A261" s="226"/>
      <c r="B261" s="227"/>
      <c r="C261" s="1598" t="s">
        <v>570</v>
      </c>
      <c r="D261" s="1589"/>
      <c r="E261" s="246">
        <v>19.72</v>
      </c>
      <c r="F261" s="229"/>
      <c r="G261" s="230"/>
      <c r="M261" s="234" t="s">
        <v>570</v>
      </c>
      <c r="O261" s="268"/>
    </row>
    <row r="262" spans="1:15" ht="12.75">
      <c r="A262" s="226"/>
      <c r="B262" s="227"/>
      <c r="C262" s="1598" t="s">
        <v>571</v>
      </c>
      <c r="D262" s="1589"/>
      <c r="E262" s="246">
        <v>3.9775</v>
      </c>
      <c r="F262" s="229"/>
      <c r="G262" s="230"/>
      <c r="M262" s="234" t="s">
        <v>571</v>
      </c>
      <c r="O262" s="268"/>
    </row>
    <row r="263" spans="1:15" ht="12.75">
      <c r="A263" s="226"/>
      <c r="B263" s="227"/>
      <c r="C263" s="1598" t="s">
        <v>572</v>
      </c>
      <c r="D263" s="1589"/>
      <c r="E263" s="246">
        <v>2.15</v>
      </c>
      <c r="F263" s="229"/>
      <c r="G263" s="230"/>
      <c r="M263" s="234" t="s">
        <v>572</v>
      </c>
      <c r="O263" s="268"/>
    </row>
    <row r="264" spans="1:15" ht="12.75">
      <c r="A264" s="226"/>
      <c r="B264" s="227"/>
      <c r="C264" s="1598" t="s">
        <v>573</v>
      </c>
      <c r="D264" s="1589"/>
      <c r="E264" s="246">
        <v>3.7625</v>
      </c>
      <c r="F264" s="229"/>
      <c r="G264" s="230"/>
      <c r="M264" s="234" t="s">
        <v>573</v>
      </c>
      <c r="O264" s="268"/>
    </row>
    <row r="265" spans="1:15" ht="12.75">
      <c r="A265" s="226"/>
      <c r="B265" s="227"/>
      <c r="C265" s="1598" t="s">
        <v>574</v>
      </c>
      <c r="D265" s="1589"/>
      <c r="E265" s="246">
        <v>3.7625</v>
      </c>
      <c r="F265" s="229"/>
      <c r="G265" s="230"/>
      <c r="M265" s="234" t="s">
        <v>574</v>
      </c>
      <c r="O265" s="268"/>
    </row>
    <row r="266" spans="1:15" ht="12.75">
      <c r="A266" s="226"/>
      <c r="B266" s="227"/>
      <c r="C266" s="1598" t="s">
        <v>199</v>
      </c>
      <c r="D266" s="1589"/>
      <c r="E266" s="246">
        <v>33.372499999999995</v>
      </c>
      <c r="F266" s="229"/>
      <c r="G266" s="230"/>
      <c r="M266" s="234" t="s">
        <v>199</v>
      </c>
      <c r="O266" s="268"/>
    </row>
    <row r="267" spans="1:15" ht="12.75">
      <c r="A267" s="226"/>
      <c r="B267" s="227"/>
      <c r="C267" s="1588" t="s">
        <v>1309</v>
      </c>
      <c r="D267" s="1589"/>
      <c r="E267" s="228">
        <v>-33.3725</v>
      </c>
      <c r="F267" s="229"/>
      <c r="G267" s="230"/>
      <c r="M267" s="680">
        <v>-333725</v>
      </c>
      <c r="O267" s="268"/>
    </row>
    <row r="268" spans="1:104" ht="12.75">
      <c r="A268" s="218">
        <v>61</v>
      </c>
      <c r="B268" s="219" t="s">
        <v>684</v>
      </c>
      <c r="C268" s="220" t="s">
        <v>685</v>
      </c>
      <c r="D268" s="221" t="s">
        <v>145</v>
      </c>
      <c r="E268" s="222">
        <v>-33.3725</v>
      </c>
      <c r="F268" s="222">
        <v>0</v>
      </c>
      <c r="G268" s="223">
        <f>E268*F268</f>
        <v>0</v>
      </c>
      <c r="O268" s="268">
        <v>2</v>
      </c>
      <c r="AA268" s="266">
        <v>1</v>
      </c>
      <c r="AB268" s="266">
        <v>7</v>
      </c>
      <c r="AC268" s="266">
        <v>7</v>
      </c>
      <c r="AZ268" s="266">
        <v>2</v>
      </c>
      <c r="BA268" s="266">
        <f>IF(AZ268=1,G268,0)</f>
        <v>0</v>
      </c>
      <c r="BB268" s="266">
        <f>IF(AZ268=2,G268,0)</f>
        <v>0</v>
      </c>
      <c r="BC268" s="266">
        <f>IF(AZ268=3,G268,0)</f>
        <v>0</v>
      </c>
      <c r="BD268" s="266">
        <f>IF(AZ268=4,G268,0)</f>
        <v>0</v>
      </c>
      <c r="BE268" s="266">
        <f>IF(AZ268=5,G268,0)</f>
        <v>0</v>
      </c>
      <c r="CA268" s="268">
        <v>1</v>
      </c>
      <c r="CB268" s="268">
        <v>7</v>
      </c>
      <c r="CZ268" s="266">
        <v>0.00126</v>
      </c>
    </row>
    <row r="269" spans="1:15" ht="12.75">
      <c r="A269" s="226"/>
      <c r="B269" s="227"/>
      <c r="C269" s="1588" t="s">
        <v>683</v>
      </c>
      <c r="D269" s="1589"/>
      <c r="E269" s="228">
        <v>0</v>
      </c>
      <c r="F269" s="229"/>
      <c r="G269" s="230"/>
      <c r="M269" s="234" t="s">
        <v>683</v>
      </c>
      <c r="O269" s="268"/>
    </row>
    <row r="270" spans="1:15" ht="12.75">
      <c r="A270" s="226"/>
      <c r="B270" s="227"/>
      <c r="C270" s="1598" t="s">
        <v>197</v>
      </c>
      <c r="D270" s="1589"/>
      <c r="E270" s="246">
        <v>0</v>
      </c>
      <c r="F270" s="229"/>
      <c r="G270" s="230"/>
      <c r="M270" s="234" t="s">
        <v>197</v>
      </c>
      <c r="O270" s="268"/>
    </row>
    <row r="271" spans="1:15" ht="12.75">
      <c r="A271" s="226"/>
      <c r="B271" s="227"/>
      <c r="C271" s="1598" t="s">
        <v>570</v>
      </c>
      <c r="D271" s="1589"/>
      <c r="E271" s="246">
        <v>19.72</v>
      </c>
      <c r="F271" s="229"/>
      <c r="G271" s="230"/>
      <c r="M271" s="234" t="s">
        <v>570</v>
      </c>
      <c r="O271" s="268"/>
    </row>
    <row r="272" spans="1:15" ht="12.75">
      <c r="A272" s="226"/>
      <c r="B272" s="227"/>
      <c r="C272" s="1598" t="s">
        <v>571</v>
      </c>
      <c r="D272" s="1589"/>
      <c r="E272" s="246">
        <v>3.9775</v>
      </c>
      <c r="F272" s="229"/>
      <c r="G272" s="230"/>
      <c r="M272" s="234" t="s">
        <v>571</v>
      </c>
      <c r="O272" s="268"/>
    </row>
    <row r="273" spans="1:15" ht="12.75">
      <c r="A273" s="226"/>
      <c r="B273" s="227"/>
      <c r="C273" s="1598" t="s">
        <v>572</v>
      </c>
      <c r="D273" s="1589"/>
      <c r="E273" s="246">
        <v>2.15</v>
      </c>
      <c r="F273" s="229"/>
      <c r="G273" s="230"/>
      <c r="M273" s="234" t="s">
        <v>572</v>
      </c>
      <c r="O273" s="268"/>
    </row>
    <row r="274" spans="1:15" ht="12.75">
      <c r="A274" s="226"/>
      <c r="B274" s="227"/>
      <c r="C274" s="1598" t="s">
        <v>573</v>
      </c>
      <c r="D274" s="1589"/>
      <c r="E274" s="246">
        <v>3.7625</v>
      </c>
      <c r="F274" s="229"/>
      <c r="G274" s="230"/>
      <c r="M274" s="234" t="s">
        <v>573</v>
      </c>
      <c r="O274" s="268"/>
    </row>
    <row r="275" spans="1:15" ht="12.75">
      <c r="A275" s="226"/>
      <c r="B275" s="227"/>
      <c r="C275" s="1598" t="s">
        <v>574</v>
      </c>
      <c r="D275" s="1589"/>
      <c r="E275" s="246">
        <v>3.7625</v>
      </c>
      <c r="F275" s="229"/>
      <c r="G275" s="230"/>
      <c r="M275" s="234" t="s">
        <v>574</v>
      </c>
      <c r="O275" s="268"/>
    </row>
    <row r="276" spans="1:15" ht="12.75">
      <c r="A276" s="226"/>
      <c r="B276" s="227"/>
      <c r="C276" s="1598" t="s">
        <v>199</v>
      </c>
      <c r="D276" s="1589"/>
      <c r="E276" s="246">
        <v>33.372499999999995</v>
      </c>
      <c r="F276" s="229"/>
      <c r="G276" s="230"/>
      <c r="M276" s="234" t="s">
        <v>199</v>
      </c>
      <c r="O276" s="268"/>
    </row>
    <row r="277" spans="1:15" ht="12.75">
      <c r="A277" s="226"/>
      <c r="B277" s="227"/>
      <c r="C277" s="1588" t="s">
        <v>1309</v>
      </c>
      <c r="D277" s="1589"/>
      <c r="E277" s="228">
        <v>-33.3725</v>
      </c>
      <c r="F277" s="229"/>
      <c r="G277" s="230"/>
      <c r="M277" s="680">
        <v>-333725</v>
      </c>
      <c r="O277" s="268"/>
    </row>
    <row r="278" spans="1:104" ht="12.75">
      <c r="A278" s="218">
        <v>62</v>
      </c>
      <c r="B278" s="219" t="s">
        <v>686</v>
      </c>
      <c r="C278" s="220" t="s">
        <v>687</v>
      </c>
      <c r="D278" s="221" t="s">
        <v>231</v>
      </c>
      <c r="E278" s="222">
        <v>-49.3</v>
      </c>
      <c r="F278" s="222">
        <v>0</v>
      </c>
      <c r="G278" s="223">
        <f>E278*F278</f>
        <v>0</v>
      </c>
      <c r="O278" s="268">
        <v>2</v>
      </c>
      <c r="AA278" s="266">
        <v>1</v>
      </c>
      <c r="AB278" s="266">
        <v>7</v>
      </c>
      <c r="AC278" s="266">
        <v>7</v>
      </c>
      <c r="AZ278" s="266">
        <v>2</v>
      </c>
      <c r="BA278" s="266">
        <f>IF(AZ278=1,G278,0)</f>
        <v>0</v>
      </c>
      <c r="BB278" s="266">
        <f>IF(AZ278=2,G278,0)</f>
        <v>0</v>
      </c>
      <c r="BC278" s="266">
        <f>IF(AZ278=3,G278,0)</f>
        <v>0</v>
      </c>
      <c r="BD278" s="266">
        <f>IF(AZ278=4,G278,0)</f>
        <v>0</v>
      </c>
      <c r="BE278" s="266">
        <f>IF(AZ278=5,G278,0)</f>
        <v>0</v>
      </c>
      <c r="CA278" s="268">
        <v>1</v>
      </c>
      <c r="CB278" s="268">
        <v>7</v>
      </c>
      <c r="CZ278" s="266">
        <v>0.00032</v>
      </c>
    </row>
    <row r="279" spans="1:15" ht="12.75">
      <c r="A279" s="226"/>
      <c r="B279" s="227"/>
      <c r="C279" s="1588" t="s">
        <v>683</v>
      </c>
      <c r="D279" s="1589"/>
      <c r="E279" s="228">
        <v>0</v>
      </c>
      <c r="F279" s="229"/>
      <c r="G279" s="230"/>
      <c r="M279" s="234" t="s">
        <v>683</v>
      </c>
      <c r="O279" s="268"/>
    </row>
    <row r="280" spans="1:15" ht="12.75">
      <c r="A280" s="226"/>
      <c r="B280" s="227"/>
      <c r="C280" s="1598" t="s">
        <v>197</v>
      </c>
      <c r="D280" s="1589"/>
      <c r="E280" s="246">
        <v>0</v>
      </c>
      <c r="F280" s="229"/>
      <c r="G280" s="230"/>
      <c r="M280" s="234" t="s">
        <v>197</v>
      </c>
      <c r="O280" s="268"/>
    </row>
    <row r="281" spans="1:15" ht="12.75">
      <c r="A281" s="226"/>
      <c r="B281" s="227"/>
      <c r="C281" s="1598" t="s">
        <v>688</v>
      </c>
      <c r="D281" s="1589"/>
      <c r="E281" s="246">
        <v>19.4</v>
      </c>
      <c r="F281" s="229"/>
      <c r="G281" s="230"/>
      <c r="M281" s="234" t="s">
        <v>688</v>
      </c>
      <c r="O281" s="268"/>
    </row>
    <row r="282" spans="1:15" ht="12.75">
      <c r="A282" s="226"/>
      <c r="B282" s="227"/>
      <c r="C282" s="1598" t="s">
        <v>689</v>
      </c>
      <c r="D282" s="1589"/>
      <c r="E282" s="246">
        <v>8</v>
      </c>
      <c r="F282" s="229"/>
      <c r="G282" s="230"/>
      <c r="M282" s="234" t="s">
        <v>689</v>
      </c>
      <c r="O282" s="268"/>
    </row>
    <row r="283" spans="1:15" ht="12.75">
      <c r="A283" s="226"/>
      <c r="B283" s="227"/>
      <c r="C283" s="1598" t="s">
        <v>690</v>
      </c>
      <c r="D283" s="1589"/>
      <c r="E283" s="246">
        <v>6.3</v>
      </c>
      <c r="F283" s="229"/>
      <c r="G283" s="230"/>
      <c r="M283" s="234" t="s">
        <v>690</v>
      </c>
      <c r="O283" s="268"/>
    </row>
    <row r="284" spans="1:15" ht="12.75">
      <c r="A284" s="226"/>
      <c r="B284" s="227"/>
      <c r="C284" s="1598" t="s">
        <v>691</v>
      </c>
      <c r="D284" s="1589"/>
      <c r="E284" s="246">
        <v>7.8</v>
      </c>
      <c r="F284" s="229"/>
      <c r="G284" s="230"/>
      <c r="M284" s="234" t="s">
        <v>691</v>
      </c>
      <c r="O284" s="268"/>
    </row>
    <row r="285" spans="1:15" ht="12.75">
      <c r="A285" s="226"/>
      <c r="B285" s="227"/>
      <c r="C285" s="1598" t="s">
        <v>692</v>
      </c>
      <c r="D285" s="1589"/>
      <c r="E285" s="246">
        <v>7.8</v>
      </c>
      <c r="F285" s="229"/>
      <c r="G285" s="230"/>
      <c r="M285" s="234" t="s">
        <v>692</v>
      </c>
      <c r="O285" s="268"/>
    </row>
    <row r="286" spans="1:15" ht="12.75">
      <c r="A286" s="226"/>
      <c r="B286" s="227"/>
      <c r="C286" s="1598" t="s">
        <v>199</v>
      </c>
      <c r="D286" s="1589"/>
      <c r="E286" s="246">
        <v>49.29999999999999</v>
      </c>
      <c r="F286" s="229"/>
      <c r="G286" s="230"/>
      <c r="M286" s="234" t="s">
        <v>199</v>
      </c>
      <c r="O286" s="268"/>
    </row>
    <row r="287" spans="1:15" ht="12.75">
      <c r="A287" s="226"/>
      <c r="B287" s="227"/>
      <c r="C287" s="1588" t="s">
        <v>1310</v>
      </c>
      <c r="D287" s="1589"/>
      <c r="E287" s="228">
        <v>-49.3</v>
      </c>
      <c r="F287" s="229"/>
      <c r="G287" s="230"/>
      <c r="M287" s="234" t="s">
        <v>1310</v>
      </c>
      <c r="O287" s="268"/>
    </row>
    <row r="288" spans="1:104" ht="12.75">
      <c r="A288" s="218">
        <v>63</v>
      </c>
      <c r="B288" s="219" t="s">
        <v>693</v>
      </c>
      <c r="C288" s="220" t="s">
        <v>694</v>
      </c>
      <c r="D288" s="221" t="s">
        <v>145</v>
      </c>
      <c r="E288" s="222">
        <v>-11.18</v>
      </c>
      <c r="F288" s="222">
        <v>0</v>
      </c>
      <c r="G288" s="223">
        <f>E288*F288</f>
        <v>0</v>
      </c>
      <c r="O288" s="268">
        <v>2</v>
      </c>
      <c r="AA288" s="266">
        <v>1</v>
      </c>
      <c r="AB288" s="266">
        <v>7</v>
      </c>
      <c r="AC288" s="266">
        <v>7</v>
      </c>
      <c r="AZ288" s="266">
        <v>2</v>
      </c>
      <c r="BA288" s="266">
        <f>IF(AZ288=1,G288,0)</f>
        <v>0</v>
      </c>
      <c r="BB288" s="266">
        <f>IF(AZ288=2,G288,0)</f>
        <v>0</v>
      </c>
      <c r="BC288" s="266">
        <f>IF(AZ288=3,G288,0)</f>
        <v>0</v>
      </c>
      <c r="BD288" s="266">
        <f>IF(AZ288=4,G288,0)</f>
        <v>0</v>
      </c>
      <c r="BE288" s="266">
        <f>IF(AZ288=5,G288,0)</f>
        <v>0</v>
      </c>
      <c r="CA288" s="268">
        <v>1</v>
      </c>
      <c r="CB288" s="268">
        <v>7</v>
      </c>
      <c r="CZ288" s="266">
        <v>0</v>
      </c>
    </row>
    <row r="289" spans="1:15" ht="12.75">
      <c r="A289" s="226"/>
      <c r="B289" s="227"/>
      <c r="C289" s="1588" t="s">
        <v>683</v>
      </c>
      <c r="D289" s="1589"/>
      <c r="E289" s="228">
        <v>0</v>
      </c>
      <c r="F289" s="229"/>
      <c r="G289" s="230"/>
      <c r="M289" s="234" t="s">
        <v>683</v>
      </c>
      <c r="O289" s="268"/>
    </row>
    <row r="290" spans="1:15" ht="12.75">
      <c r="A290" s="226"/>
      <c r="B290" s="227"/>
      <c r="C290" s="1588" t="s">
        <v>1311</v>
      </c>
      <c r="D290" s="1589"/>
      <c r="E290" s="228">
        <v>-11.18</v>
      </c>
      <c r="F290" s="229"/>
      <c r="G290" s="230"/>
      <c r="M290" s="234" t="s">
        <v>1311</v>
      </c>
      <c r="O290" s="268"/>
    </row>
    <row r="291" spans="1:104" ht="12.75">
      <c r="A291" s="218">
        <v>64</v>
      </c>
      <c r="B291" s="219" t="s">
        <v>695</v>
      </c>
      <c r="C291" s="220" t="s">
        <v>696</v>
      </c>
      <c r="D291" s="221" t="s">
        <v>9</v>
      </c>
      <c r="E291" s="222">
        <v>-98.80251175</v>
      </c>
      <c r="F291" s="222">
        <v>0</v>
      </c>
      <c r="G291" s="223">
        <f>E291*F291</f>
        <v>0</v>
      </c>
      <c r="O291" s="268">
        <v>2</v>
      </c>
      <c r="AA291" s="266">
        <v>7</v>
      </c>
      <c r="AB291" s="266">
        <v>1002</v>
      </c>
      <c r="AC291" s="266">
        <v>5</v>
      </c>
      <c r="AZ291" s="266">
        <v>2</v>
      </c>
      <c r="BA291" s="266">
        <f>IF(AZ291=1,G291,0)</f>
        <v>0</v>
      </c>
      <c r="BB291" s="266">
        <f>IF(AZ291=2,G291,0)</f>
        <v>0</v>
      </c>
      <c r="BC291" s="266">
        <f>IF(AZ291=3,G291,0)</f>
        <v>0</v>
      </c>
      <c r="BD291" s="266">
        <f>IF(AZ291=4,G291,0)</f>
        <v>0</v>
      </c>
      <c r="BE291" s="266">
        <f>IF(AZ291=5,G291,0)</f>
        <v>0</v>
      </c>
      <c r="CA291" s="268">
        <v>7</v>
      </c>
      <c r="CB291" s="268">
        <v>1002</v>
      </c>
      <c r="CZ291" s="266">
        <v>0</v>
      </c>
    </row>
    <row r="292" spans="1:57" ht="12.75">
      <c r="A292" s="236"/>
      <c r="B292" s="237" t="s">
        <v>175</v>
      </c>
      <c r="C292" s="238" t="str">
        <f>CONCATENATE(B241," ",C241)</f>
        <v>711 Izolace proti vodě</v>
      </c>
      <c r="D292" s="239"/>
      <c r="E292" s="240"/>
      <c r="F292" s="241"/>
      <c r="G292" s="242">
        <f>SUM(G241:G291)</f>
        <v>0</v>
      </c>
      <c r="O292" s="268">
        <v>4</v>
      </c>
      <c r="BA292" s="269">
        <f>SUM(BA241:BA291)</f>
        <v>0</v>
      </c>
      <c r="BB292" s="269">
        <f>SUM(BB241:BB291)</f>
        <v>0</v>
      </c>
      <c r="BC292" s="269">
        <f>SUM(BC241:BC291)</f>
        <v>0</v>
      </c>
      <c r="BD292" s="269">
        <f>SUM(BD241:BD291)</f>
        <v>0</v>
      </c>
      <c r="BE292" s="269">
        <f>SUM(BE241:BE291)</f>
        <v>0</v>
      </c>
    </row>
    <row r="293" spans="1:15" ht="12.75">
      <c r="A293" s="207" t="s">
        <v>140</v>
      </c>
      <c r="B293" s="208" t="s">
        <v>698</v>
      </c>
      <c r="C293" s="209" t="s">
        <v>699</v>
      </c>
      <c r="D293" s="210"/>
      <c r="E293" s="211"/>
      <c r="F293" s="211"/>
      <c r="G293" s="212"/>
      <c r="H293" s="267"/>
      <c r="I293" s="267"/>
      <c r="O293" s="268">
        <v>1</v>
      </c>
    </row>
    <row r="294" spans="1:104" ht="20.4">
      <c r="A294" s="218">
        <v>65</v>
      </c>
      <c r="B294" s="219" t="s">
        <v>703</v>
      </c>
      <c r="C294" s="220" t="s">
        <v>704</v>
      </c>
      <c r="D294" s="221" t="s">
        <v>145</v>
      </c>
      <c r="E294" s="222">
        <v>1.79</v>
      </c>
      <c r="F294" s="222">
        <v>0</v>
      </c>
      <c r="G294" s="223">
        <f>E294*F294</f>
        <v>0</v>
      </c>
      <c r="O294" s="268">
        <v>2</v>
      </c>
      <c r="AA294" s="266">
        <v>1</v>
      </c>
      <c r="AB294" s="266">
        <v>7</v>
      </c>
      <c r="AC294" s="266">
        <v>7</v>
      </c>
      <c r="AZ294" s="266">
        <v>2</v>
      </c>
      <c r="BA294" s="266">
        <f>IF(AZ294=1,G294,0)</f>
        <v>0</v>
      </c>
      <c r="BB294" s="266">
        <f>IF(AZ294=2,G294,0)</f>
        <v>0</v>
      </c>
      <c r="BC294" s="266">
        <f>IF(AZ294=3,G294,0)</f>
        <v>0</v>
      </c>
      <c r="BD294" s="266">
        <f>IF(AZ294=4,G294,0)</f>
        <v>0</v>
      </c>
      <c r="BE294" s="266">
        <f>IF(AZ294=5,G294,0)</f>
        <v>0</v>
      </c>
      <c r="CA294" s="268">
        <v>1</v>
      </c>
      <c r="CB294" s="268">
        <v>7</v>
      </c>
      <c r="CZ294" s="266">
        <v>0</v>
      </c>
    </row>
    <row r="295" spans="1:15" ht="12.75">
      <c r="A295" s="226"/>
      <c r="B295" s="227"/>
      <c r="C295" s="1588" t="s">
        <v>683</v>
      </c>
      <c r="D295" s="1589"/>
      <c r="E295" s="228">
        <v>0</v>
      </c>
      <c r="F295" s="229"/>
      <c r="G295" s="230"/>
      <c r="M295" s="234" t="s">
        <v>683</v>
      </c>
      <c r="O295" s="268"/>
    </row>
    <row r="296" spans="1:15" ht="12.75">
      <c r="A296" s="226"/>
      <c r="B296" s="227"/>
      <c r="C296" s="1588" t="s">
        <v>1255</v>
      </c>
      <c r="D296" s="1589"/>
      <c r="E296" s="228">
        <v>11.44</v>
      </c>
      <c r="F296" s="229"/>
      <c r="G296" s="230"/>
      <c r="M296" s="234" t="s">
        <v>1255</v>
      </c>
      <c r="O296" s="268"/>
    </row>
    <row r="297" spans="1:15" ht="12.75">
      <c r="A297" s="226"/>
      <c r="B297" s="227"/>
      <c r="C297" s="1588" t="s">
        <v>1257</v>
      </c>
      <c r="D297" s="1589"/>
      <c r="E297" s="228">
        <v>3.85</v>
      </c>
      <c r="F297" s="229"/>
      <c r="G297" s="230"/>
      <c r="M297" s="234" t="s">
        <v>1257</v>
      </c>
      <c r="O297" s="268"/>
    </row>
    <row r="298" spans="1:15" ht="12.75">
      <c r="A298" s="226"/>
      <c r="B298" s="227"/>
      <c r="C298" s="1588" t="s">
        <v>1258</v>
      </c>
      <c r="D298" s="1589"/>
      <c r="E298" s="228">
        <v>10.84</v>
      </c>
      <c r="F298" s="229"/>
      <c r="G298" s="230"/>
      <c r="M298" s="234" t="s">
        <v>1258</v>
      </c>
      <c r="O298" s="268"/>
    </row>
    <row r="299" spans="1:15" ht="12.75">
      <c r="A299" s="226"/>
      <c r="B299" s="227"/>
      <c r="C299" s="1588" t="s">
        <v>1259</v>
      </c>
      <c r="D299" s="1589"/>
      <c r="E299" s="228">
        <v>2.36</v>
      </c>
      <c r="F299" s="229"/>
      <c r="G299" s="230"/>
      <c r="M299" s="234" t="s">
        <v>1259</v>
      </c>
      <c r="O299" s="268"/>
    </row>
    <row r="300" spans="1:15" ht="12.75">
      <c r="A300" s="226"/>
      <c r="B300" s="227"/>
      <c r="C300" s="1588" t="s">
        <v>1260</v>
      </c>
      <c r="D300" s="1589"/>
      <c r="E300" s="228">
        <v>3.87</v>
      </c>
      <c r="F300" s="229"/>
      <c r="G300" s="230"/>
      <c r="M300" s="234" t="s">
        <v>1260</v>
      </c>
      <c r="O300" s="268"/>
    </row>
    <row r="301" spans="1:15" ht="12.75">
      <c r="A301" s="226"/>
      <c r="B301" s="227"/>
      <c r="C301" s="1588" t="s">
        <v>1261</v>
      </c>
      <c r="D301" s="1589"/>
      <c r="E301" s="228">
        <v>3.96</v>
      </c>
      <c r="F301" s="229"/>
      <c r="G301" s="230"/>
      <c r="M301" s="234" t="s">
        <v>1261</v>
      </c>
      <c r="O301" s="268"/>
    </row>
    <row r="302" spans="1:15" ht="12.75">
      <c r="A302" s="226"/>
      <c r="B302" s="227"/>
      <c r="C302" s="1588" t="s">
        <v>1262</v>
      </c>
      <c r="D302" s="1589"/>
      <c r="E302" s="228">
        <v>8.59</v>
      </c>
      <c r="F302" s="229"/>
      <c r="G302" s="230"/>
      <c r="M302" s="234" t="s">
        <v>1262</v>
      </c>
      <c r="O302" s="268"/>
    </row>
    <row r="303" spans="1:15" ht="12.75">
      <c r="A303" s="226"/>
      <c r="B303" s="227"/>
      <c r="C303" s="1588" t="s">
        <v>1297</v>
      </c>
      <c r="D303" s="1589"/>
      <c r="E303" s="228">
        <v>-43.12</v>
      </c>
      <c r="F303" s="229"/>
      <c r="G303" s="230"/>
      <c r="M303" s="234" t="s">
        <v>1297</v>
      </c>
      <c r="O303" s="268"/>
    </row>
    <row r="304" spans="1:104" ht="12.75">
      <c r="A304" s="218">
        <v>66</v>
      </c>
      <c r="B304" s="219" t="s">
        <v>1312</v>
      </c>
      <c r="C304" s="220" t="s">
        <v>1313</v>
      </c>
      <c r="D304" s="221" t="s">
        <v>145</v>
      </c>
      <c r="E304" s="222">
        <v>14.8456</v>
      </c>
      <c r="F304" s="222">
        <v>0</v>
      </c>
      <c r="G304" s="223">
        <f>E304*F304</f>
        <v>0</v>
      </c>
      <c r="O304" s="268">
        <v>2</v>
      </c>
      <c r="AA304" s="266">
        <v>1</v>
      </c>
      <c r="AB304" s="266">
        <v>7</v>
      </c>
      <c r="AC304" s="266">
        <v>7</v>
      </c>
      <c r="AZ304" s="266">
        <v>2</v>
      </c>
      <c r="BA304" s="266">
        <f>IF(AZ304=1,G304,0)</f>
        <v>0</v>
      </c>
      <c r="BB304" s="266">
        <f>IF(AZ304=2,G304,0)</f>
        <v>0</v>
      </c>
      <c r="BC304" s="266">
        <f>IF(AZ304=3,G304,0)</f>
        <v>0</v>
      </c>
      <c r="BD304" s="266">
        <f>IF(AZ304=4,G304,0)</f>
        <v>0</v>
      </c>
      <c r="BE304" s="266">
        <f>IF(AZ304=5,G304,0)</f>
        <v>0</v>
      </c>
      <c r="CA304" s="268">
        <v>1</v>
      </c>
      <c r="CB304" s="268">
        <v>7</v>
      </c>
      <c r="CZ304" s="266">
        <v>0.003</v>
      </c>
    </row>
    <row r="305" spans="1:15" ht="12.75">
      <c r="A305" s="226"/>
      <c r="B305" s="227"/>
      <c r="C305" s="1588" t="s">
        <v>1314</v>
      </c>
      <c r="D305" s="1589"/>
      <c r="E305" s="228">
        <v>14.8456</v>
      </c>
      <c r="F305" s="229"/>
      <c r="G305" s="230"/>
      <c r="M305" s="234" t="s">
        <v>1314</v>
      </c>
      <c r="O305" s="268"/>
    </row>
    <row r="306" spans="1:104" ht="12.75">
      <c r="A306" s="218">
        <v>67</v>
      </c>
      <c r="B306" s="219" t="s">
        <v>705</v>
      </c>
      <c r="C306" s="220" t="s">
        <v>706</v>
      </c>
      <c r="D306" s="221" t="s">
        <v>145</v>
      </c>
      <c r="E306" s="222">
        <v>1.79</v>
      </c>
      <c r="F306" s="222">
        <v>0</v>
      </c>
      <c r="G306" s="223">
        <f>E306*F306</f>
        <v>0</v>
      </c>
      <c r="O306" s="268">
        <v>2</v>
      </c>
      <c r="AA306" s="266">
        <v>1</v>
      </c>
      <c r="AB306" s="266">
        <v>0</v>
      </c>
      <c r="AC306" s="266">
        <v>0</v>
      </c>
      <c r="AZ306" s="266">
        <v>2</v>
      </c>
      <c r="BA306" s="266">
        <f>IF(AZ306=1,G306,0)</f>
        <v>0</v>
      </c>
      <c r="BB306" s="266">
        <f>IF(AZ306=2,G306,0)</f>
        <v>0</v>
      </c>
      <c r="BC306" s="266">
        <f>IF(AZ306=3,G306,0)</f>
        <v>0</v>
      </c>
      <c r="BD306" s="266">
        <f>IF(AZ306=4,G306,0)</f>
        <v>0</v>
      </c>
      <c r="BE306" s="266">
        <f>IF(AZ306=5,G306,0)</f>
        <v>0</v>
      </c>
      <c r="CA306" s="268">
        <v>1</v>
      </c>
      <c r="CB306" s="268">
        <v>0</v>
      </c>
      <c r="CZ306" s="266">
        <v>0.00015</v>
      </c>
    </row>
    <row r="307" spans="1:15" ht="12.75">
      <c r="A307" s="226"/>
      <c r="B307" s="227"/>
      <c r="C307" s="1588" t="s">
        <v>683</v>
      </c>
      <c r="D307" s="1589"/>
      <c r="E307" s="228">
        <v>0</v>
      </c>
      <c r="F307" s="229"/>
      <c r="G307" s="230"/>
      <c r="M307" s="234" t="s">
        <v>683</v>
      </c>
      <c r="O307" s="268"/>
    </row>
    <row r="308" spans="1:15" ht="12.75">
      <c r="A308" s="226"/>
      <c r="B308" s="227"/>
      <c r="C308" s="1588" t="s">
        <v>1255</v>
      </c>
      <c r="D308" s="1589"/>
      <c r="E308" s="228">
        <v>11.44</v>
      </c>
      <c r="F308" s="229"/>
      <c r="G308" s="230"/>
      <c r="M308" s="234" t="s">
        <v>1255</v>
      </c>
      <c r="O308" s="268"/>
    </row>
    <row r="309" spans="1:15" ht="12.75">
      <c r="A309" s="226"/>
      <c r="B309" s="227"/>
      <c r="C309" s="1588" t="s">
        <v>1257</v>
      </c>
      <c r="D309" s="1589"/>
      <c r="E309" s="228">
        <v>3.85</v>
      </c>
      <c r="F309" s="229"/>
      <c r="G309" s="230"/>
      <c r="M309" s="234" t="s">
        <v>1257</v>
      </c>
      <c r="O309" s="268"/>
    </row>
    <row r="310" spans="1:15" ht="12.75">
      <c r="A310" s="226"/>
      <c r="B310" s="227"/>
      <c r="C310" s="1588" t="s">
        <v>1258</v>
      </c>
      <c r="D310" s="1589"/>
      <c r="E310" s="228">
        <v>10.84</v>
      </c>
      <c r="F310" s="229"/>
      <c r="G310" s="230"/>
      <c r="M310" s="234" t="s">
        <v>1258</v>
      </c>
      <c r="O310" s="268"/>
    </row>
    <row r="311" spans="1:15" ht="12.75">
      <c r="A311" s="226"/>
      <c r="B311" s="227"/>
      <c r="C311" s="1588" t="s">
        <v>1259</v>
      </c>
      <c r="D311" s="1589"/>
      <c r="E311" s="228">
        <v>2.36</v>
      </c>
      <c r="F311" s="229"/>
      <c r="G311" s="230"/>
      <c r="M311" s="234" t="s">
        <v>1259</v>
      </c>
      <c r="O311" s="268"/>
    </row>
    <row r="312" spans="1:15" ht="12.75">
      <c r="A312" s="226"/>
      <c r="B312" s="227"/>
      <c r="C312" s="1588" t="s">
        <v>1260</v>
      </c>
      <c r="D312" s="1589"/>
      <c r="E312" s="228">
        <v>3.87</v>
      </c>
      <c r="F312" s="229"/>
      <c r="G312" s="230"/>
      <c r="M312" s="234" t="s">
        <v>1260</v>
      </c>
      <c r="O312" s="268"/>
    </row>
    <row r="313" spans="1:15" ht="12.75">
      <c r="A313" s="226"/>
      <c r="B313" s="227"/>
      <c r="C313" s="1588" t="s">
        <v>1261</v>
      </c>
      <c r="D313" s="1589"/>
      <c r="E313" s="228">
        <v>3.96</v>
      </c>
      <c r="F313" s="229"/>
      <c r="G313" s="230"/>
      <c r="M313" s="234" t="s">
        <v>1261</v>
      </c>
      <c r="O313" s="268"/>
    </row>
    <row r="314" spans="1:15" ht="12.75">
      <c r="A314" s="226"/>
      <c r="B314" s="227"/>
      <c r="C314" s="1588" t="s">
        <v>1262</v>
      </c>
      <c r="D314" s="1589"/>
      <c r="E314" s="228">
        <v>8.59</v>
      </c>
      <c r="F314" s="229"/>
      <c r="G314" s="230"/>
      <c r="M314" s="234" t="s">
        <v>1262</v>
      </c>
      <c r="O314" s="268"/>
    </row>
    <row r="315" spans="1:15" ht="12.75">
      <c r="A315" s="226"/>
      <c r="B315" s="227"/>
      <c r="C315" s="1588" t="s">
        <v>1297</v>
      </c>
      <c r="D315" s="1589"/>
      <c r="E315" s="228">
        <v>-43.12</v>
      </c>
      <c r="F315" s="229"/>
      <c r="G315" s="230"/>
      <c r="M315" s="234" t="s">
        <v>1297</v>
      </c>
      <c r="O315" s="268"/>
    </row>
    <row r="316" spans="1:104" ht="12.75">
      <c r="A316" s="218">
        <v>68</v>
      </c>
      <c r="B316" s="219" t="s">
        <v>707</v>
      </c>
      <c r="C316" s="220" t="s">
        <v>708</v>
      </c>
      <c r="D316" s="221" t="s">
        <v>154</v>
      </c>
      <c r="E316" s="222">
        <v>0.2761</v>
      </c>
      <c r="F316" s="222">
        <v>0</v>
      </c>
      <c r="G316" s="223">
        <f>E316*F316</f>
        <v>0</v>
      </c>
      <c r="O316" s="268">
        <v>2</v>
      </c>
      <c r="AA316" s="266">
        <v>3</v>
      </c>
      <c r="AB316" s="266">
        <v>7</v>
      </c>
      <c r="AC316" s="266">
        <v>28375422</v>
      </c>
      <c r="AZ316" s="266">
        <v>2</v>
      </c>
      <c r="BA316" s="266">
        <f>IF(AZ316=1,G316,0)</f>
        <v>0</v>
      </c>
      <c r="BB316" s="266">
        <f>IF(AZ316=2,G316,0)</f>
        <v>0</v>
      </c>
      <c r="BC316" s="266">
        <f>IF(AZ316=3,G316,0)</f>
        <v>0</v>
      </c>
      <c r="BD316" s="266">
        <f>IF(AZ316=4,G316,0)</f>
        <v>0</v>
      </c>
      <c r="BE316" s="266">
        <f>IF(AZ316=5,G316,0)</f>
        <v>0</v>
      </c>
      <c r="CA316" s="268">
        <v>3</v>
      </c>
      <c r="CB316" s="268">
        <v>7</v>
      </c>
      <c r="CZ316" s="266">
        <v>0.045</v>
      </c>
    </row>
    <row r="317" spans="1:15" ht="12.75">
      <c r="A317" s="226"/>
      <c r="B317" s="227"/>
      <c r="C317" s="1588" t="s">
        <v>683</v>
      </c>
      <c r="D317" s="1589"/>
      <c r="E317" s="228">
        <v>0</v>
      </c>
      <c r="F317" s="229"/>
      <c r="G317" s="230"/>
      <c r="M317" s="234" t="s">
        <v>683</v>
      </c>
      <c r="O317" s="268"/>
    </row>
    <row r="318" spans="1:15" ht="12.75">
      <c r="A318" s="226"/>
      <c r="B318" s="227"/>
      <c r="C318" s="1598" t="s">
        <v>197</v>
      </c>
      <c r="D318" s="1589"/>
      <c r="E318" s="246">
        <v>0</v>
      </c>
      <c r="F318" s="229"/>
      <c r="G318" s="230"/>
      <c r="M318" s="234" t="s">
        <v>197</v>
      </c>
      <c r="O318" s="268"/>
    </row>
    <row r="319" spans="1:15" ht="12.75">
      <c r="A319" s="226"/>
      <c r="B319" s="227"/>
      <c r="C319" s="1598" t="s">
        <v>1255</v>
      </c>
      <c r="D319" s="1589"/>
      <c r="E319" s="246">
        <v>11.44</v>
      </c>
      <c r="F319" s="229"/>
      <c r="G319" s="230"/>
      <c r="M319" s="234" t="s">
        <v>1255</v>
      </c>
      <c r="O319" s="268"/>
    </row>
    <row r="320" spans="1:15" ht="12.75">
      <c r="A320" s="226"/>
      <c r="B320" s="227"/>
      <c r="C320" s="1598" t="s">
        <v>1257</v>
      </c>
      <c r="D320" s="1589"/>
      <c r="E320" s="246">
        <v>3.85</v>
      </c>
      <c r="F320" s="229"/>
      <c r="G320" s="230"/>
      <c r="M320" s="234" t="s">
        <v>1257</v>
      </c>
      <c r="O320" s="268"/>
    </row>
    <row r="321" spans="1:15" ht="12.75">
      <c r="A321" s="226"/>
      <c r="B321" s="227"/>
      <c r="C321" s="1598" t="s">
        <v>1258</v>
      </c>
      <c r="D321" s="1589"/>
      <c r="E321" s="246">
        <v>10.84</v>
      </c>
      <c r="F321" s="229"/>
      <c r="G321" s="230"/>
      <c r="M321" s="234" t="s">
        <v>1258</v>
      </c>
      <c r="O321" s="268"/>
    </row>
    <row r="322" spans="1:15" ht="12.75">
      <c r="A322" s="226"/>
      <c r="B322" s="227"/>
      <c r="C322" s="1598" t="s">
        <v>1259</v>
      </c>
      <c r="D322" s="1589"/>
      <c r="E322" s="246">
        <v>2.36</v>
      </c>
      <c r="F322" s="229"/>
      <c r="G322" s="230"/>
      <c r="M322" s="234" t="s">
        <v>1259</v>
      </c>
      <c r="O322" s="268"/>
    </row>
    <row r="323" spans="1:15" ht="12.75">
      <c r="A323" s="226"/>
      <c r="B323" s="227"/>
      <c r="C323" s="1598" t="s">
        <v>1260</v>
      </c>
      <c r="D323" s="1589"/>
      <c r="E323" s="246">
        <v>3.87</v>
      </c>
      <c r="F323" s="229"/>
      <c r="G323" s="230"/>
      <c r="M323" s="234" t="s">
        <v>1260</v>
      </c>
      <c r="O323" s="268"/>
    </row>
    <row r="324" spans="1:15" ht="12.75">
      <c r="A324" s="226"/>
      <c r="B324" s="227"/>
      <c r="C324" s="1598" t="s">
        <v>1261</v>
      </c>
      <c r="D324" s="1589"/>
      <c r="E324" s="246">
        <v>3.96</v>
      </c>
      <c r="F324" s="229"/>
      <c r="G324" s="230"/>
      <c r="M324" s="234" t="s">
        <v>1261</v>
      </c>
      <c r="O324" s="268"/>
    </row>
    <row r="325" spans="1:15" ht="12.75">
      <c r="A325" s="226"/>
      <c r="B325" s="227"/>
      <c r="C325" s="1598" t="s">
        <v>1262</v>
      </c>
      <c r="D325" s="1589"/>
      <c r="E325" s="246">
        <v>8.59</v>
      </c>
      <c r="F325" s="229"/>
      <c r="G325" s="230"/>
      <c r="M325" s="234" t="s">
        <v>1262</v>
      </c>
      <c r="O325" s="268"/>
    </row>
    <row r="326" spans="1:15" ht="12.75">
      <c r="A326" s="226"/>
      <c r="B326" s="227"/>
      <c r="C326" s="1598" t="s">
        <v>199</v>
      </c>
      <c r="D326" s="1589"/>
      <c r="E326" s="246">
        <v>44.91</v>
      </c>
      <c r="F326" s="229"/>
      <c r="G326" s="230"/>
      <c r="M326" s="234" t="s">
        <v>199</v>
      </c>
      <c r="O326" s="268"/>
    </row>
    <row r="327" spans="1:15" ht="12.75">
      <c r="A327" s="226"/>
      <c r="B327" s="227"/>
      <c r="C327" s="1588" t="s">
        <v>1315</v>
      </c>
      <c r="D327" s="1589"/>
      <c r="E327" s="228">
        <v>6.9161</v>
      </c>
      <c r="F327" s="229"/>
      <c r="G327" s="230"/>
      <c r="M327" s="234" t="s">
        <v>1315</v>
      </c>
      <c r="O327" s="268"/>
    </row>
    <row r="328" spans="1:15" ht="12.75">
      <c r="A328" s="226"/>
      <c r="B328" s="227"/>
      <c r="C328" s="1588" t="s">
        <v>1316</v>
      </c>
      <c r="D328" s="1589"/>
      <c r="E328" s="228">
        <v>-6.64</v>
      </c>
      <c r="F328" s="229"/>
      <c r="G328" s="230"/>
      <c r="M328" s="234" t="s">
        <v>1316</v>
      </c>
      <c r="O328" s="268"/>
    </row>
    <row r="329" spans="1:104" ht="12.75">
      <c r="A329" s="218">
        <v>69</v>
      </c>
      <c r="B329" s="219" t="s">
        <v>1317</v>
      </c>
      <c r="C329" s="220" t="s">
        <v>1318</v>
      </c>
      <c r="D329" s="221" t="s">
        <v>145</v>
      </c>
      <c r="E329" s="222">
        <v>17.8147</v>
      </c>
      <c r="F329" s="222">
        <v>0</v>
      </c>
      <c r="G329" s="223">
        <f>E329*F329</f>
        <v>0</v>
      </c>
      <c r="O329" s="268">
        <v>2</v>
      </c>
      <c r="AA329" s="266">
        <v>3</v>
      </c>
      <c r="AB329" s="266">
        <v>7</v>
      </c>
      <c r="AC329" s="266">
        <v>28375468</v>
      </c>
      <c r="AZ329" s="266">
        <v>2</v>
      </c>
      <c r="BA329" s="266">
        <f>IF(AZ329=1,G329,0)</f>
        <v>0</v>
      </c>
      <c r="BB329" s="266">
        <f>IF(AZ329=2,G329,0)</f>
        <v>0</v>
      </c>
      <c r="BC329" s="266">
        <f>IF(AZ329=3,G329,0)</f>
        <v>0</v>
      </c>
      <c r="BD329" s="266">
        <f>IF(AZ329=4,G329,0)</f>
        <v>0</v>
      </c>
      <c r="BE329" s="266">
        <f>IF(AZ329=5,G329,0)</f>
        <v>0</v>
      </c>
      <c r="CA329" s="268">
        <v>3</v>
      </c>
      <c r="CB329" s="268">
        <v>7</v>
      </c>
      <c r="CZ329" s="266">
        <v>0.0063</v>
      </c>
    </row>
    <row r="330" spans="1:15" ht="12.75">
      <c r="A330" s="226"/>
      <c r="B330" s="227"/>
      <c r="C330" s="1588" t="s">
        <v>1319</v>
      </c>
      <c r="D330" s="1589"/>
      <c r="E330" s="228">
        <v>17.8147</v>
      </c>
      <c r="F330" s="229"/>
      <c r="G330" s="230"/>
      <c r="M330" s="234" t="s">
        <v>1319</v>
      </c>
      <c r="O330" s="268"/>
    </row>
    <row r="331" spans="1:104" ht="12.75">
      <c r="A331" s="218">
        <v>70</v>
      </c>
      <c r="B331" s="219" t="s">
        <v>717</v>
      </c>
      <c r="C331" s="220" t="s">
        <v>718</v>
      </c>
      <c r="D331" s="221" t="s">
        <v>9</v>
      </c>
      <c r="E331" s="222">
        <v>113.23960277</v>
      </c>
      <c r="F331" s="222">
        <v>0</v>
      </c>
      <c r="G331" s="223">
        <f>E331*F331</f>
        <v>0</v>
      </c>
      <c r="O331" s="268">
        <v>2</v>
      </c>
      <c r="AA331" s="266">
        <v>7</v>
      </c>
      <c r="AB331" s="266">
        <v>1002</v>
      </c>
      <c r="AC331" s="266">
        <v>5</v>
      </c>
      <c r="AZ331" s="266">
        <v>2</v>
      </c>
      <c r="BA331" s="266">
        <f>IF(AZ331=1,G331,0)</f>
        <v>0</v>
      </c>
      <c r="BB331" s="266">
        <f>IF(AZ331=2,G331,0)</f>
        <v>0</v>
      </c>
      <c r="BC331" s="266">
        <f>IF(AZ331=3,G331,0)</f>
        <v>0</v>
      </c>
      <c r="BD331" s="266">
        <f>IF(AZ331=4,G331,0)</f>
        <v>0</v>
      </c>
      <c r="BE331" s="266">
        <f>IF(AZ331=5,G331,0)</f>
        <v>0</v>
      </c>
      <c r="CA331" s="268">
        <v>7</v>
      </c>
      <c r="CB331" s="268">
        <v>1002</v>
      </c>
      <c r="CZ331" s="266">
        <v>0</v>
      </c>
    </row>
    <row r="332" spans="1:57" ht="12.75">
      <c r="A332" s="236"/>
      <c r="B332" s="237" t="s">
        <v>175</v>
      </c>
      <c r="C332" s="238" t="str">
        <f>CONCATENATE(B293," ",C293)</f>
        <v>713 Izolace tepelné</v>
      </c>
      <c r="D332" s="239"/>
      <c r="E332" s="240"/>
      <c r="F332" s="241"/>
      <c r="G332" s="242">
        <f>SUM(G293:G331)</f>
        <v>0</v>
      </c>
      <c r="O332" s="268">
        <v>4</v>
      </c>
      <c r="BA332" s="269">
        <f>SUM(BA293:BA331)</f>
        <v>0</v>
      </c>
      <c r="BB332" s="269">
        <f>SUM(BB293:BB331)</f>
        <v>0</v>
      </c>
      <c r="BC332" s="269">
        <f>SUM(BC293:BC331)</f>
        <v>0</v>
      </c>
      <c r="BD332" s="269">
        <f>SUM(BD293:BD331)</f>
        <v>0</v>
      </c>
      <c r="BE332" s="269">
        <f>SUM(BE293:BE331)</f>
        <v>0</v>
      </c>
    </row>
    <row r="333" spans="1:15" ht="12.75">
      <c r="A333" s="207" t="s">
        <v>140</v>
      </c>
      <c r="B333" s="208" t="s">
        <v>239</v>
      </c>
      <c r="C333" s="209" t="s">
        <v>240</v>
      </c>
      <c r="D333" s="210"/>
      <c r="E333" s="211"/>
      <c r="F333" s="211"/>
      <c r="G333" s="212"/>
      <c r="H333" s="267"/>
      <c r="I333" s="267"/>
      <c r="O333" s="268">
        <v>1</v>
      </c>
    </row>
    <row r="334" spans="1:104" ht="12.75">
      <c r="A334" s="218">
        <v>71</v>
      </c>
      <c r="B334" s="219" t="s">
        <v>775</v>
      </c>
      <c r="C334" s="220" t="s">
        <v>776</v>
      </c>
      <c r="D334" s="221" t="s">
        <v>145</v>
      </c>
      <c r="E334" s="222">
        <v>-9.31</v>
      </c>
      <c r="F334" s="222">
        <v>0</v>
      </c>
      <c r="G334" s="223">
        <f>E334*F334</f>
        <v>0</v>
      </c>
      <c r="O334" s="268">
        <v>2</v>
      </c>
      <c r="AA334" s="266">
        <v>1</v>
      </c>
      <c r="AB334" s="266">
        <v>0</v>
      </c>
      <c r="AC334" s="266">
        <v>0</v>
      </c>
      <c r="AZ334" s="266">
        <v>2</v>
      </c>
      <c r="BA334" s="266">
        <f>IF(AZ334=1,G334,0)</f>
        <v>0</v>
      </c>
      <c r="BB334" s="266">
        <f>IF(AZ334=2,G334,0)</f>
        <v>0</v>
      </c>
      <c r="BC334" s="266">
        <f>IF(AZ334=3,G334,0)</f>
        <v>0</v>
      </c>
      <c r="BD334" s="266">
        <f>IF(AZ334=4,G334,0)</f>
        <v>0</v>
      </c>
      <c r="BE334" s="266">
        <f>IF(AZ334=5,G334,0)</f>
        <v>0</v>
      </c>
      <c r="CA334" s="268">
        <v>1</v>
      </c>
      <c r="CB334" s="268">
        <v>0</v>
      </c>
      <c r="CZ334" s="266">
        <v>0.01608</v>
      </c>
    </row>
    <row r="335" spans="1:15" ht="12.75">
      <c r="A335" s="226"/>
      <c r="B335" s="227"/>
      <c r="C335" s="1588" t="s">
        <v>1320</v>
      </c>
      <c r="D335" s="1589"/>
      <c r="E335" s="228">
        <v>86.45</v>
      </c>
      <c r="F335" s="229"/>
      <c r="G335" s="230"/>
      <c r="M335" s="234" t="s">
        <v>1320</v>
      </c>
      <c r="O335" s="268"/>
    </row>
    <row r="336" spans="1:15" ht="12.75">
      <c r="A336" s="226"/>
      <c r="B336" s="227"/>
      <c r="C336" s="1588" t="s">
        <v>1321</v>
      </c>
      <c r="D336" s="1589"/>
      <c r="E336" s="228">
        <v>-95.76</v>
      </c>
      <c r="F336" s="229"/>
      <c r="G336" s="230"/>
      <c r="M336" s="234" t="s">
        <v>1321</v>
      </c>
      <c r="O336" s="268"/>
    </row>
    <row r="337" spans="1:104" ht="12.75">
      <c r="A337" s="218">
        <v>72</v>
      </c>
      <c r="B337" s="219" t="s">
        <v>778</v>
      </c>
      <c r="C337" s="220" t="s">
        <v>1322</v>
      </c>
      <c r="D337" s="221" t="s">
        <v>145</v>
      </c>
      <c r="E337" s="222">
        <v>-23.76</v>
      </c>
      <c r="F337" s="222">
        <v>0</v>
      </c>
      <c r="G337" s="223">
        <f>E337*F337</f>
        <v>0</v>
      </c>
      <c r="O337" s="268">
        <v>2</v>
      </c>
      <c r="AA337" s="266">
        <v>1</v>
      </c>
      <c r="AB337" s="266">
        <v>7</v>
      </c>
      <c r="AC337" s="266">
        <v>7</v>
      </c>
      <c r="AZ337" s="266">
        <v>2</v>
      </c>
      <c r="BA337" s="266">
        <f>IF(AZ337=1,G337,0)</f>
        <v>0</v>
      </c>
      <c r="BB337" s="266">
        <f>IF(AZ337=2,G337,0)</f>
        <v>0</v>
      </c>
      <c r="BC337" s="266">
        <f>IF(AZ337=3,G337,0)</f>
        <v>0</v>
      </c>
      <c r="BD337" s="266">
        <f>IF(AZ337=4,G337,0)</f>
        <v>0</v>
      </c>
      <c r="BE337" s="266">
        <f>IF(AZ337=5,G337,0)</f>
        <v>0</v>
      </c>
      <c r="CA337" s="268">
        <v>1</v>
      </c>
      <c r="CB337" s="268">
        <v>7</v>
      </c>
      <c r="CZ337" s="266">
        <v>0.02824</v>
      </c>
    </row>
    <row r="338" spans="1:15" ht="12.75">
      <c r="A338" s="226"/>
      <c r="B338" s="227"/>
      <c r="C338" s="1588" t="s">
        <v>634</v>
      </c>
      <c r="D338" s="1589"/>
      <c r="E338" s="228">
        <v>0</v>
      </c>
      <c r="F338" s="229"/>
      <c r="G338" s="230"/>
      <c r="M338" s="234" t="s">
        <v>634</v>
      </c>
      <c r="O338" s="268"/>
    </row>
    <row r="339" spans="1:15" ht="12.75">
      <c r="A339" s="226"/>
      <c r="B339" s="227"/>
      <c r="C339" s="1588" t="s">
        <v>1323</v>
      </c>
      <c r="D339" s="1589"/>
      <c r="E339" s="228">
        <v>-23.76</v>
      </c>
      <c r="F339" s="229"/>
      <c r="G339" s="230"/>
      <c r="M339" s="234" t="s">
        <v>1323</v>
      </c>
      <c r="O339" s="268"/>
    </row>
    <row r="340" spans="1:104" ht="20.4">
      <c r="A340" s="218">
        <v>73</v>
      </c>
      <c r="B340" s="219" t="s">
        <v>782</v>
      </c>
      <c r="C340" s="220" t="s">
        <v>783</v>
      </c>
      <c r="D340" s="221" t="s">
        <v>145</v>
      </c>
      <c r="E340" s="222">
        <v>9.48</v>
      </c>
      <c r="F340" s="222">
        <v>0</v>
      </c>
      <c r="G340" s="223">
        <f>E340*F340</f>
        <v>0</v>
      </c>
      <c r="O340" s="268">
        <v>2</v>
      </c>
      <c r="AA340" s="266">
        <v>1</v>
      </c>
      <c r="AB340" s="266">
        <v>0</v>
      </c>
      <c r="AC340" s="266">
        <v>0</v>
      </c>
      <c r="AZ340" s="266">
        <v>2</v>
      </c>
      <c r="BA340" s="266">
        <f>IF(AZ340=1,G340,0)</f>
        <v>0</v>
      </c>
      <c r="BB340" s="266">
        <f>IF(AZ340=2,G340,0)</f>
        <v>0</v>
      </c>
      <c r="BC340" s="266">
        <f>IF(AZ340=3,G340,0)</f>
        <v>0</v>
      </c>
      <c r="BD340" s="266">
        <f>IF(AZ340=4,G340,0)</f>
        <v>0</v>
      </c>
      <c r="BE340" s="266">
        <f>IF(AZ340=5,G340,0)</f>
        <v>0</v>
      </c>
      <c r="CA340" s="268">
        <v>1</v>
      </c>
      <c r="CB340" s="268">
        <v>0</v>
      </c>
      <c r="CZ340" s="266">
        <v>0.00145</v>
      </c>
    </row>
    <row r="341" spans="1:15" ht="12.75">
      <c r="A341" s="226"/>
      <c r="B341" s="227"/>
      <c r="C341" s="1588" t="s">
        <v>1324</v>
      </c>
      <c r="D341" s="1589"/>
      <c r="E341" s="228">
        <v>0</v>
      </c>
      <c r="F341" s="229"/>
      <c r="G341" s="230"/>
      <c r="M341" s="234" t="s">
        <v>1324</v>
      </c>
      <c r="O341" s="268"/>
    </row>
    <row r="342" spans="1:15" ht="12.75">
      <c r="A342" s="226"/>
      <c r="B342" s="227"/>
      <c r="C342" s="1588" t="s">
        <v>784</v>
      </c>
      <c r="D342" s="1589"/>
      <c r="E342" s="228">
        <v>15.96</v>
      </c>
      <c r="F342" s="229"/>
      <c r="G342" s="230"/>
      <c r="M342" s="234" t="s">
        <v>784</v>
      </c>
      <c r="O342" s="268"/>
    </row>
    <row r="343" spans="1:15" ht="12.75">
      <c r="A343" s="226"/>
      <c r="B343" s="227"/>
      <c r="C343" s="1588" t="s">
        <v>1325</v>
      </c>
      <c r="D343" s="1589"/>
      <c r="E343" s="228">
        <v>3.9</v>
      </c>
      <c r="F343" s="229"/>
      <c r="G343" s="230"/>
      <c r="M343" s="234" t="s">
        <v>1325</v>
      </c>
      <c r="O343" s="268"/>
    </row>
    <row r="344" spans="1:15" ht="12.75">
      <c r="A344" s="226"/>
      <c r="B344" s="227"/>
      <c r="C344" s="1588" t="s">
        <v>1326</v>
      </c>
      <c r="D344" s="1589"/>
      <c r="E344" s="228">
        <v>19.5</v>
      </c>
      <c r="F344" s="229"/>
      <c r="G344" s="230"/>
      <c r="M344" s="234" t="s">
        <v>1326</v>
      </c>
      <c r="O344" s="268"/>
    </row>
    <row r="345" spans="1:15" ht="12.75">
      <c r="A345" s="226"/>
      <c r="B345" s="227"/>
      <c r="C345" s="1588" t="s">
        <v>1327</v>
      </c>
      <c r="D345" s="1589"/>
      <c r="E345" s="228">
        <v>12</v>
      </c>
      <c r="F345" s="229"/>
      <c r="G345" s="230"/>
      <c r="M345" s="234" t="s">
        <v>1327</v>
      </c>
      <c r="O345" s="268"/>
    </row>
    <row r="346" spans="1:15" ht="12.75">
      <c r="A346" s="226"/>
      <c r="B346" s="227"/>
      <c r="C346" s="1588" t="s">
        <v>786</v>
      </c>
      <c r="D346" s="1589"/>
      <c r="E346" s="228">
        <v>2.64</v>
      </c>
      <c r="F346" s="229"/>
      <c r="G346" s="230"/>
      <c r="M346" s="234" t="s">
        <v>786</v>
      </c>
      <c r="O346" s="268"/>
    </row>
    <row r="347" spans="1:15" ht="12.75">
      <c r="A347" s="226"/>
      <c r="B347" s="227"/>
      <c r="C347" s="1588" t="s">
        <v>1328</v>
      </c>
      <c r="D347" s="1589"/>
      <c r="E347" s="228">
        <v>-44.52</v>
      </c>
      <c r="F347" s="229"/>
      <c r="G347" s="230"/>
      <c r="M347" s="234" t="s">
        <v>1328</v>
      </c>
      <c r="O347" s="268"/>
    </row>
    <row r="348" spans="1:104" ht="12.75">
      <c r="A348" s="218">
        <v>74</v>
      </c>
      <c r="B348" s="219" t="s">
        <v>1329</v>
      </c>
      <c r="C348" s="220" t="s">
        <v>1330</v>
      </c>
      <c r="D348" s="221" t="s">
        <v>145</v>
      </c>
      <c r="E348" s="222">
        <v>19.5</v>
      </c>
      <c r="F348" s="222">
        <v>0</v>
      </c>
      <c r="G348" s="223">
        <f>E348*F348</f>
        <v>0</v>
      </c>
      <c r="O348" s="268">
        <v>2</v>
      </c>
      <c r="AA348" s="266">
        <v>1</v>
      </c>
      <c r="AB348" s="266">
        <v>7</v>
      </c>
      <c r="AC348" s="266">
        <v>7</v>
      </c>
      <c r="AZ348" s="266">
        <v>2</v>
      </c>
      <c r="BA348" s="266">
        <f>IF(AZ348=1,G348,0)</f>
        <v>0</v>
      </c>
      <c r="BB348" s="266">
        <f>IF(AZ348=2,G348,0)</f>
        <v>0</v>
      </c>
      <c r="BC348" s="266">
        <f>IF(AZ348=3,G348,0)</f>
        <v>0</v>
      </c>
      <c r="BD348" s="266">
        <f>IF(AZ348=4,G348,0)</f>
        <v>0</v>
      </c>
      <c r="BE348" s="266">
        <f>IF(AZ348=5,G348,0)</f>
        <v>0</v>
      </c>
      <c r="CA348" s="268">
        <v>1</v>
      </c>
      <c r="CB348" s="268">
        <v>7</v>
      </c>
      <c r="CZ348" s="266">
        <v>0.01776</v>
      </c>
    </row>
    <row r="349" spans="1:15" ht="12.75">
      <c r="A349" s="226"/>
      <c r="B349" s="227"/>
      <c r="C349" s="1588" t="s">
        <v>1331</v>
      </c>
      <c r="D349" s="1589"/>
      <c r="E349" s="228">
        <v>19.5</v>
      </c>
      <c r="F349" s="229"/>
      <c r="G349" s="230"/>
      <c r="M349" s="234" t="s">
        <v>1331</v>
      </c>
      <c r="O349" s="268"/>
    </row>
    <row r="350" spans="1:104" ht="12.75">
      <c r="A350" s="218">
        <v>75</v>
      </c>
      <c r="B350" s="219" t="s">
        <v>1332</v>
      </c>
      <c r="C350" s="220" t="s">
        <v>1333</v>
      </c>
      <c r="D350" s="221" t="s">
        <v>145</v>
      </c>
      <c r="E350" s="222">
        <v>4.48</v>
      </c>
      <c r="F350" s="222">
        <v>0</v>
      </c>
      <c r="G350" s="223">
        <f>E350*F350</f>
        <v>0</v>
      </c>
      <c r="O350" s="268">
        <v>2</v>
      </c>
      <c r="AA350" s="266">
        <v>1</v>
      </c>
      <c r="AB350" s="266">
        <v>7</v>
      </c>
      <c r="AC350" s="266">
        <v>7</v>
      </c>
      <c r="AZ350" s="266">
        <v>2</v>
      </c>
      <c r="BA350" s="266">
        <f>IF(AZ350=1,G350,0)</f>
        <v>0</v>
      </c>
      <c r="BB350" s="266">
        <f>IF(AZ350=2,G350,0)</f>
        <v>0</v>
      </c>
      <c r="BC350" s="266">
        <f>IF(AZ350=3,G350,0)</f>
        <v>0</v>
      </c>
      <c r="BD350" s="266">
        <f>IF(AZ350=4,G350,0)</f>
        <v>0</v>
      </c>
      <c r="BE350" s="266">
        <f>IF(AZ350=5,G350,0)</f>
        <v>0</v>
      </c>
      <c r="CA350" s="268">
        <v>1</v>
      </c>
      <c r="CB350" s="268">
        <v>7</v>
      </c>
      <c r="CZ350" s="266">
        <v>0.02675</v>
      </c>
    </row>
    <row r="351" spans="1:15" ht="12.75">
      <c r="A351" s="226"/>
      <c r="B351" s="227"/>
      <c r="C351" s="1588" t="s">
        <v>634</v>
      </c>
      <c r="D351" s="1589"/>
      <c r="E351" s="228">
        <v>0</v>
      </c>
      <c r="F351" s="229"/>
      <c r="G351" s="230"/>
      <c r="M351" s="234" t="s">
        <v>634</v>
      </c>
      <c r="O351" s="268"/>
    </row>
    <row r="352" spans="1:15" ht="12.75">
      <c r="A352" s="226"/>
      <c r="B352" s="227"/>
      <c r="C352" s="1588" t="s">
        <v>1334</v>
      </c>
      <c r="D352" s="1589"/>
      <c r="E352" s="228">
        <v>7.68</v>
      </c>
      <c r="F352" s="229"/>
      <c r="G352" s="230"/>
      <c r="M352" s="234" t="s">
        <v>1334</v>
      </c>
      <c r="O352" s="268"/>
    </row>
    <row r="353" spans="1:15" ht="12.75">
      <c r="A353" s="226"/>
      <c r="B353" s="227"/>
      <c r="C353" s="1588" t="s">
        <v>1335</v>
      </c>
      <c r="D353" s="1589"/>
      <c r="E353" s="228">
        <v>-3.2</v>
      </c>
      <c r="F353" s="229"/>
      <c r="G353" s="230"/>
      <c r="M353" s="234" t="s">
        <v>1335</v>
      </c>
      <c r="O353" s="268"/>
    </row>
    <row r="354" spans="1:104" ht="12.75">
      <c r="A354" s="218">
        <v>76</v>
      </c>
      <c r="B354" s="219" t="s">
        <v>1336</v>
      </c>
      <c r="C354" s="220" t="s">
        <v>1337</v>
      </c>
      <c r="D354" s="221" t="s">
        <v>231</v>
      </c>
      <c r="E354" s="222">
        <v>13.2</v>
      </c>
      <c r="F354" s="222">
        <v>0</v>
      </c>
      <c r="G354" s="223">
        <f>E354*F354</f>
        <v>0</v>
      </c>
      <c r="O354" s="268">
        <v>2</v>
      </c>
      <c r="AA354" s="266">
        <v>1</v>
      </c>
      <c r="AB354" s="266">
        <v>7</v>
      </c>
      <c r="AC354" s="266">
        <v>7</v>
      </c>
      <c r="AZ354" s="266">
        <v>2</v>
      </c>
      <c r="BA354" s="266">
        <f>IF(AZ354=1,G354,0)</f>
        <v>0</v>
      </c>
      <c r="BB354" s="266">
        <f>IF(AZ354=2,G354,0)</f>
        <v>0</v>
      </c>
      <c r="BC354" s="266">
        <f>IF(AZ354=3,G354,0)</f>
        <v>0</v>
      </c>
      <c r="BD354" s="266">
        <f>IF(AZ354=4,G354,0)</f>
        <v>0</v>
      </c>
      <c r="BE354" s="266">
        <f>IF(AZ354=5,G354,0)</f>
        <v>0</v>
      </c>
      <c r="CA354" s="268">
        <v>1</v>
      </c>
      <c r="CB354" s="268">
        <v>7</v>
      </c>
      <c r="CZ354" s="266">
        <v>0.00255</v>
      </c>
    </row>
    <row r="355" spans="1:15" ht="12.75">
      <c r="A355" s="226"/>
      <c r="B355" s="227"/>
      <c r="C355" s="1588" t="s">
        <v>634</v>
      </c>
      <c r="D355" s="1589"/>
      <c r="E355" s="228">
        <v>0</v>
      </c>
      <c r="F355" s="229"/>
      <c r="G355" s="230"/>
      <c r="M355" s="234" t="s">
        <v>634</v>
      </c>
      <c r="O355" s="268"/>
    </row>
    <row r="356" spans="1:15" ht="12.75">
      <c r="A356" s="226"/>
      <c r="B356" s="227"/>
      <c r="C356" s="1588" t="s">
        <v>1338</v>
      </c>
      <c r="D356" s="1589"/>
      <c r="E356" s="228">
        <v>13.2</v>
      </c>
      <c r="F356" s="229"/>
      <c r="G356" s="230"/>
      <c r="M356" s="234" t="s">
        <v>1338</v>
      </c>
      <c r="O356" s="268"/>
    </row>
    <row r="357" spans="1:104" ht="20.4">
      <c r="A357" s="218">
        <v>77</v>
      </c>
      <c r="B357" s="219" t="s">
        <v>797</v>
      </c>
      <c r="C357" s="220" t="s">
        <v>1339</v>
      </c>
      <c r="D357" s="221" t="s">
        <v>231</v>
      </c>
      <c r="E357" s="222">
        <v>18</v>
      </c>
      <c r="F357" s="222">
        <v>0</v>
      </c>
      <c r="G357" s="223">
        <f>E357*F357</f>
        <v>0</v>
      </c>
      <c r="O357" s="268">
        <v>2</v>
      </c>
      <c r="AA357" s="266">
        <v>1</v>
      </c>
      <c r="AB357" s="266">
        <v>7</v>
      </c>
      <c r="AC357" s="266">
        <v>7</v>
      </c>
      <c r="AZ357" s="266">
        <v>2</v>
      </c>
      <c r="BA357" s="266">
        <f>IF(AZ357=1,G357,0)</f>
        <v>0</v>
      </c>
      <c r="BB357" s="266">
        <f>IF(AZ357=2,G357,0)</f>
        <v>0</v>
      </c>
      <c r="BC357" s="266">
        <f>IF(AZ357=3,G357,0)</f>
        <v>0</v>
      </c>
      <c r="BD357" s="266">
        <f>IF(AZ357=4,G357,0)</f>
        <v>0</v>
      </c>
      <c r="BE357" s="266">
        <f>IF(AZ357=5,G357,0)</f>
        <v>0</v>
      </c>
      <c r="CA357" s="268">
        <v>1</v>
      </c>
      <c r="CB357" s="268">
        <v>7</v>
      </c>
      <c r="CZ357" s="266">
        <v>0.00754</v>
      </c>
    </row>
    <row r="358" spans="1:15" ht="12.75">
      <c r="A358" s="226"/>
      <c r="B358" s="227"/>
      <c r="C358" s="1588" t="s">
        <v>1340</v>
      </c>
      <c r="D358" s="1589"/>
      <c r="E358" s="228">
        <v>18</v>
      </c>
      <c r="F358" s="229"/>
      <c r="G358" s="230"/>
      <c r="M358" s="234" t="s">
        <v>1340</v>
      </c>
      <c r="O358" s="268"/>
    </row>
    <row r="359" spans="1:104" ht="12.75">
      <c r="A359" s="218">
        <v>78</v>
      </c>
      <c r="B359" s="219" t="s">
        <v>1341</v>
      </c>
      <c r="C359" s="220" t="s">
        <v>1342</v>
      </c>
      <c r="D359" s="221" t="s">
        <v>231</v>
      </c>
      <c r="E359" s="222">
        <v>7.14</v>
      </c>
      <c r="F359" s="222">
        <v>0</v>
      </c>
      <c r="G359" s="223">
        <f>E359*F359</f>
        <v>0</v>
      </c>
      <c r="O359" s="268">
        <v>2</v>
      </c>
      <c r="AA359" s="266">
        <v>3</v>
      </c>
      <c r="AB359" s="266">
        <v>7</v>
      </c>
      <c r="AC359" s="266">
        <v>60510013</v>
      </c>
      <c r="AZ359" s="266">
        <v>2</v>
      </c>
      <c r="BA359" s="266">
        <f>IF(AZ359=1,G359,0)</f>
        <v>0</v>
      </c>
      <c r="BB359" s="266">
        <f>IF(AZ359=2,G359,0)</f>
        <v>0</v>
      </c>
      <c r="BC359" s="266">
        <f>IF(AZ359=3,G359,0)</f>
        <v>0</v>
      </c>
      <c r="BD359" s="266">
        <f>IF(AZ359=4,G359,0)</f>
        <v>0</v>
      </c>
      <c r="BE359" s="266">
        <f>IF(AZ359=5,G359,0)</f>
        <v>0</v>
      </c>
      <c r="CA359" s="268">
        <v>3</v>
      </c>
      <c r="CB359" s="268">
        <v>7</v>
      </c>
      <c r="CZ359" s="266">
        <v>0.0018</v>
      </c>
    </row>
    <row r="360" spans="1:15" ht="12.75">
      <c r="A360" s="226"/>
      <c r="B360" s="227"/>
      <c r="C360" s="1588" t="s">
        <v>634</v>
      </c>
      <c r="D360" s="1589"/>
      <c r="E360" s="228">
        <v>0</v>
      </c>
      <c r="F360" s="229"/>
      <c r="G360" s="230"/>
      <c r="M360" s="234" t="s">
        <v>634</v>
      </c>
      <c r="O360" s="268"/>
    </row>
    <row r="361" spans="1:15" ht="12.75">
      <c r="A361" s="226"/>
      <c r="B361" s="227"/>
      <c r="C361" s="1588" t="s">
        <v>1343</v>
      </c>
      <c r="D361" s="1589"/>
      <c r="E361" s="228">
        <v>7.14</v>
      </c>
      <c r="F361" s="229"/>
      <c r="G361" s="230"/>
      <c r="M361" s="234" t="s">
        <v>1343</v>
      </c>
      <c r="O361" s="268"/>
    </row>
    <row r="362" spans="1:104" ht="12.75">
      <c r="A362" s="218">
        <v>79</v>
      </c>
      <c r="B362" s="219" t="s">
        <v>1344</v>
      </c>
      <c r="C362" s="220" t="s">
        <v>1345</v>
      </c>
      <c r="D362" s="221" t="s">
        <v>231</v>
      </c>
      <c r="E362" s="222">
        <v>6.72</v>
      </c>
      <c r="F362" s="222">
        <v>0</v>
      </c>
      <c r="G362" s="223">
        <f>E362*F362</f>
        <v>0</v>
      </c>
      <c r="O362" s="268">
        <v>2</v>
      </c>
      <c r="AA362" s="266">
        <v>3</v>
      </c>
      <c r="AB362" s="266">
        <v>7</v>
      </c>
      <c r="AC362" s="266">
        <v>60510065</v>
      </c>
      <c r="AZ362" s="266">
        <v>2</v>
      </c>
      <c r="BA362" s="266">
        <f>IF(AZ362=1,G362,0)</f>
        <v>0</v>
      </c>
      <c r="BB362" s="266">
        <f>IF(AZ362=2,G362,0)</f>
        <v>0</v>
      </c>
      <c r="BC362" s="266">
        <f>IF(AZ362=3,G362,0)</f>
        <v>0</v>
      </c>
      <c r="BD362" s="266">
        <f>IF(AZ362=4,G362,0)</f>
        <v>0</v>
      </c>
      <c r="BE362" s="266">
        <f>IF(AZ362=5,G362,0)</f>
        <v>0</v>
      </c>
      <c r="CA362" s="268">
        <v>3</v>
      </c>
      <c r="CB362" s="268">
        <v>7</v>
      </c>
      <c r="CZ362" s="266">
        <v>0.00176</v>
      </c>
    </row>
    <row r="363" spans="1:15" ht="12.75">
      <c r="A363" s="226"/>
      <c r="B363" s="227"/>
      <c r="C363" s="1588" t="s">
        <v>634</v>
      </c>
      <c r="D363" s="1589"/>
      <c r="E363" s="228">
        <v>0</v>
      </c>
      <c r="F363" s="229"/>
      <c r="G363" s="230"/>
      <c r="M363" s="234" t="s">
        <v>634</v>
      </c>
      <c r="O363" s="268"/>
    </row>
    <row r="364" spans="1:15" ht="12.75">
      <c r="A364" s="226"/>
      <c r="B364" s="227"/>
      <c r="C364" s="1588" t="s">
        <v>1346</v>
      </c>
      <c r="D364" s="1589"/>
      <c r="E364" s="228">
        <v>6.72</v>
      </c>
      <c r="F364" s="229"/>
      <c r="G364" s="230"/>
      <c r="M364" s="234" t="s">
        <v>1346</v>
      </c>
      <c r="O364" s="268"/>
    </row>
    <row r="365" spans="1:104" ht="12.75">
      <c r="A365" s="218">
        <v>80</v>
      </c>
      <c r="B365" s="219" t="s">
        <v>244</v>
      </c>
      <c r="C365" s="220" t="s">
        <v>245</v>
      </c>
      <c r="D365" s="221" t="s">
        <v>9</v>
      </c>
      <c r="E365" s="222"/>
      <c r="F365" s="222">
        <v>0</v>
      </c>
      <c r="G365" s="223">
        <f>E365*F365</f>
        <v>0</v>
      </c>
      <c r="O365" s="268">
        <v>2</v>
      </c>
      <c r="AA365" s="266">
        <v>7</v>
      </c>
      <c r="AB365" s="266">
        <v>1002</v>
      </c>
      <c r="AC365" s="266">
        <v>5</v>
      </c>
      <c r="AZ365" s="266">
        <v>2</v>
      </c>
      <c r="BA365" s="266">
        <f>IF(AZ365=1,G365,0)</f>
        <v>0</v>
      </c>
      <c r="BB365" s="266">
        <f>IF(AZ365=2,G365,0)</f>
        <v>0</v>
      </c>
      <c r="BC365" s="266">
        <f>IF(AZ365=3,G365,0)</f>
        <v>0</v>
      </c>
      <c r="BD365" s="266">
        <f>IF(AZ365=4,G365,0)</f>
        <v>0</v>
      </c>
      <c r="BE365" s="266">
        <f>IF(AZ365=5,G365,0)</f>
        <v>0</v>
      </c>
      <c r="CA365" s="268">
        <v>7</v>
      </c>
      <c r="CB365" s="268">
        <v>1002</v>
      </c>
      <c r="CZ365" s="266">
        <v>0</v>
      </c>
    </row>
    <row r="366" spans="1:57" ht="12.75">
      <c r="A366" s="236"/>
      <c r="B366" s="237" t="s">
        <v>175</v>
      </c>
      <c r="C366" s="238" t="str">
        <f>CONCATENATE(B333," ",C333)</f>
        <v>762 Konstrukce tesařské</v>
      </c>
      <c r="D366" s="239"/>
      <c r="E366" s="240"/>
      <c r="F366" s="241"/>
      <c r="G366" s="242">
        <f>SUM(G333:G365)</f>
        <v>0</v>
      </c>
      <c r="O366" s="268">
        <v>4</v>
      </c>
      <c r="BA366" s="269">
        <f>SUM(BA333:BA365)</f>
        <v>0</v>
      </c>
      <c r="BB366" s="269">
        <f>SUM(BB333:BB365)</f>
        <v>0</v>
      </c>
      <c r="BC366" s="269">
        <f>SUM(BC333:BC365)</f>
        <v>0</v>
      </c>
      <c r="BD366" s="269">
        <f>SUM(BD333:BD365)</f>
        <v>0</v>
      </c>
      <c r="BE366" s="269">
        <f>SUM(BE333:BE365)</f>
        <v>0</v>
      </c>
    </row>
    <row r="367" spans="1:15" ht="12.75">
      <c r="A367" s="207" t="s">
        <v>140</v>
      </c>
      <c r="B367" s="208" t="s">
        <v>247</v>
      </c>
      <c r="C367" s="209" t="s">
        <v>248</v>
      </c>
      <c r="D367" s="210"/>
      <c r="E367" s="211"/>
      <c r="F367" s="211"/>
      <c r="G367" s="212"/>
      <c r="H367" s="267"/>
      <c r="I367" s="267"/>
      <c r="O367" s="268">
        <v>1</v>
      </c>
    </row>
    <row r="368" spans="1:104" ht="12.75">
      <c r="A368" s="218">
        <v>81</v>
      </c>
      <c r="B368" s="219" t="s">
        <v>1347</v>
      </c>
      <c r="C368" s="220" t="s">
        <v>1348</v>
      </c>
      <c r="D368" s="221" t="s">
        <v>231</v>
      </c>
      <c r="E368" s="222">
        <v>26.6</v>
      </c>
      <c r="F368" s="222">
        <v>0</v>
      </c>
      <c r="G368" s="223">
        <f>E368*F368</f>
        <v>0</v>
      </c>
      <c r="O368" s="268">
        <v>2</v>
      </c>
      <c r="AA368" s="266">
        <v>1</v>
      </c>
      <c r="AB368" s="266">
        <v>7</v>
      </c>
      <c r="AC368" s="266">
        <v>7</v>
      </c>
      <c r="AZ368" s="266">
        <v>2</v>
      </c>
      <c r="BA368" s="266">
        <f>IF(AZ368=1,G368,0)</f>
        <v>0</v>
      </c>
      <c r="BB368" s="266">
        <f>IF(AZ368=2,G368,0)</f>
        <v>0</v>
      </c>
      <c r="BC368" s="266">
        <f>IF(AZ368=3,G368,0)</f>
        <v>0</v>
      </c>
      <c r="BD368" s="266">
        <f>IF(AZ368=4,G368,0)</f>
        <v>0</v>
      </c>
      <c r="BE368" s="266">
        <f>IF(AZ368=5,G368,0)</f>
        <v>0</v>
      </c>
      <c r="CA368" s="268">
        <v>1</v>
      </c>
      <c r="CB368" s="268">
        <v>7</v>
      </c>
      <c r="CZ368" s="266">
        <v>0.0014</v>
      </c>
    </row>
    <row r="369" spans="1:15" ht="12.75">
      <c r="A369" s="226"/>
      <c r="B369" s="227"/>
      <c r="C369" s="1588" t="s">
        <v>1349</v>
      </c>
      <c r="D369" s="1589"/>
      <c r="E369" s="228">
        <v>26.6</v>
      </c>
      <c r="F369" s="229"/>
      <c r="G369" s="230"/>
      <c r="M369" s="234" t="s">
        <v>1349</v>
      </c>
      <c r="O369" s="268"/>
    </row>
    <row r="370" spans="1:104" ht="20.4">
      <c r="A370" s="218">
        <v>82</v>
      </c>
      <c r="B370" s="219" t="s">
        <v>1350</v>
      </c>
      <c r="C370" s="220" t="s">
        <v>1351</v>
      </c>
      <c r="D370" s="221" t="s">
        <v>145</v>
      </c>
      <c r="E370" s="222">
        <v>86.45</v>
      </c>
      <c r="F370" s="222">
        <v>0</v>
      </c>
      <c r="G370" s="223">
        <f>E370*F370</f>
        <v>0</v>
      </c>
      <c r="O370" s="268">
        <v>2</v>
      </c>
      <c r="AA370" s="266">
        <v>1</v>
      </c>
      <c r="AB370" s="266">
        <v>7</v>
      </c>
      <c r="AC370" s="266">
        <v>7</v>
      </c>
      <c r="AZ370" s="266">
        <v>2</v>
      </c>
      <c r="BA370" s="266">
        <f>IF(AZ370=1,G370,0)</f>
        <v>0</v>
      </c>
      <c r="BB370" s="266">
        <f>IF(AZ370=2,G370,0)</f>
        <v>0</v>
      </c>
      <c r="BC370" s="266">
        <f>IF(AZ370=3,G370,0)</f>
        <v>0</v>
      </c>
      <c r="BD370" s="266">
        <f>IF(AZ370=4,G370,0)</f>
        <v>0</v>
      </c>
      <c r="BE370" s="266">
        <f>IF(AZ370=5,G370,0)</f>
        <v>0</v>
      </c>
      <c r="CA370" s="268">
        <v>1</v>
      </c>
      <c r="CB370" s="268">
        <v>7</v>
      </c>
      <c r="CZ370" s="266">
        <v>0.00658</v>
      </c>
    </row>
    <row r="371" spans="1:15" ht="12.75">
      <c r="A371" s="226"/>
      <c r="B371" s="227"/>
      <c r="C371" s="1588" t="s">
        <v>1320</v>
      </c>
      <c r="D371" s="1589"/>
      <c r="E371" s="228">
        <v>86.45</v>
      </c>
      <c r="F371" s="229"/>
      <c r="G371" s="230"/>
      <c r="M371" s="234" t="s">
        <v>1320</v>
      </c>
      <c r="O371" s="268"/>
    </row>
    <row r="372" spans="1:104" ht="20.4">
      <c r="A372" s="218">
        <v>83</v>
      </c>
      <c r="B372" s="219" t="s">
        <v>834</v>
      </c>
      <c r="C372" s="220" t="s">
        <v>835</v>
      </c>
      <c r="D372" s="221" t="s">
        <v>145</v>
      </c>
      <c r="E372" s="222">
        <v>-9.31</v>
      </c>
      <c r="F372" s="222">
        <v>0</v>
      </c>
      <c r="G372" s="223">
        <f>E372*F372</f>
        <v>0</v>
      </c>
      <c r="O372" s="268">
        <v>2</v>
      </c>
      <c r="AA372" s="266">
        <v>1</v>
      </c>
      <c r="AB372" s="266">
        <v>0</v>
      </c>
      <c r="AC372" s="266">
        <v>0</v>
      </c>
      <c r="AZ372" s="266">
        <v>2</v>
      </c>
      <c r="BA372" s="266">
        <f>IF(AZ372=1,G372,0)</f>
        <v>0</v>
      </c>
      <c r="BB372" s="266">
        <f>IF(AZ372=2,G372,0)</f>
        <v>0</v>
      </c>
      <c r="BC372" s="266">
        <f>IF(AZ372=3,G372,0)</f>
        <v>0</v>
      </c>
      <c r="BD372" s="266">
        <f>IF(AZ372=4,G372,0)</f>
        <v>0</v>
      </c>
      <c r="BE372" s="266">
        <f>IF(AZ372=5,G372,0)</f>
        <v>0</v>
      </c>
      <c r="CA372" s="268">
        <v>1</v>
      </c>
      <c r="CB372" s="268">
        <v>0</v>
      </c>
      <c r="CZ372" s="266">
        <v>0.00676</v>
      </c>
    </row>
    <row r="373" spans="1:15" ht="12.75">
      <c r="A373" s="226"/>
      <c r="B373" s="227"/>
      <c r="C373" s="1588" t="s">
        <v>1352</v>
      </c>
      <c r="D373" s="1589"/>
      <c r="E373" s="228">
        <v>0</v>
      </c>
      <c r="F373" s="229"/>
      <c r="G373" s="230"/>
      <c r="M373" s="234" t="s">
        <v>1352</v>
      </c>
      <c r="O373" s="268"/>
    </row>
    <row r="374" spans="1:15" ht="12.75">
      <c r="A374" s="226"/>
      <c r="B374" s="227"/>
      <c r="C374" s="1588" t="s">
        <v>1320</v>
      </c>
      <c r="D374" s="1589"/>
      <c r="E374" s="228">
        <v>86.45</v>
      </c>
      <c r="F374" s="229"/>
      <c r="G374" s="230"/>
      <c r="M374" s="234" t="s">
        <v>1320</v>
      </c>
      <c r="O374" s="268"/>
    </row>
    <row r="375" spans="1:15" ht="12.75">
      <c r="A375" s="226"/>
      <c r="B375" s="227"/>
      <c r="C375" s="1588" t="s">
        <v>1321</v>
      </c>
      <c r="D375" s="1589"/>
      <c r="E375" s="228">
        <v>-95.76</v>
      </c>
      <c r="F375" s="229"/>
      <c r="G375" s="230"/>
      <c r="M375" s="234" t="s">
        <v>1321</v>
      </c>
      <c r="O375" s="268"/>
    </row>
    <row r="376" spans="1:104" ht="12.75">
      <c r="A376" s="218">
        <v>84</v>
      </c>
      <c r="B376" s="219" t="s">
        <v>1353</v>
      </c>
      <c r="C376" s="220" t="s">
        <v>1354</v>
      </c>
      <c r="D376" s="221" t="s">
        <v>231</v>
      </c>
      <c r="E376" s="222">
        <v>30.59</v>
      </c>
      <c r="F376" s="222">
        <v>0</v>
      </c>
      <c r="G376" s="223">
        <f>E376*F376</f>
        <v>0</v>
      </c>
      <c r="O376" s="268">
        <v>2</v>
      </c>
      <c r="AA376" s="266">
        <v>1</v>
      </c>
      <c r="AB376" s="266">
        <v>7</v>
      </c>
      <c r="AC376" s="266">
        <v>7</v>
      </c>
      <c r="AZ376" s="266">
        <v>2</v>
      </c>
      <c r="BA376" s="266">
        <f>IF(AZ376=1,G376,0)</f>
        <v>0</v>
      </c>
      <c r="BB376" s="266">
        <f>IF(AZ376=2,G376,0)</f>
        <v>0</v>
      </c>
      <c r="BC376" s="266">
        <f>IF(AZ376=3,G376,0)</f>
        <v>0</v>
      </c>
      <c r="BD376" s="266">
        <f>IF(AZ376=4,G376,0)</f>
        <v>0</v>
      </c>
      <c r="BE376" s="266">
        <f>IF(AZ376=5,G376,0)</f>
        <v>0</v>
      </c>
      <c r="CA376" s="268">
        <v>1</v>
      </c>
      <c r="CB376" s="268">
        <v>7</v>
      </c>
      <c r="CZ376" s="266">
        <v>0.00141</v>
      </c>
    </row>
    <row r="377" spans="1:15" ht="12.75">
      <c r="A377" s="226"/>
      <c r="B377" s="227"/>
      <c r="C377" s="1588" t="s">
        <v>1355</v>
      </c>
      <c r="D377" s="1589"/>
      <c r="E377" s="228">
        <v>30.59</v>
      </c>
      <c r="F377" s="229"/>
      <c r="G377" s="230"/>
      <c r="M377" s="234" t="s">
        <v>1355</v>
      </c>
      <c r="O377" s="268"/>
    </row>
    <row r="378" spans="1:104" ht="12.75">
      <c r="A378" s="218">
        <v>85</v>
      </c>
      <c r="B378" s="219" t="s">
        <v>1356</v>
      </c>
      <c r="C378" s="220" t="s">
        <v>1357</v>
      </c>
      <c r="D378" s="221" t="s">
        <v>196</v>
      </c>
      <c r="E378" s="222">
        <v>2</v>
      </c>
      <c r="F378" s="222">
        <v>0</v>
      </c>
      <c r="G378" s="223">
        <f>E378*F378</f>
        <v>0</v>
      </c>
      <c r="O378" s="268">
        <v>2</v>
      </c>
      <c r="AA378" s="266">
        <v>1</v>
      </c>
      <c r="AB378" s="266">
        <v>7</v>
      </c>
      <c r="AC378" s="266">
        <v>7</v>
      </c>
      <c r="AZ378" s="266">
        <v>2</v>
      </c>
      <c r="BA378" s="266">
        <f>IF(AZ378=1,G378,0)</f>
        <v>0</v>
      </c>
      <c r="BB378" s="266">
        <f>IF(AZ378=2,G378,0)</f>
        <v>0</v>
      </c>
      <c r="BC378" s="266">
        <f>IF(AZ378=3,G378,0)</f>
        <v>0</v>
      </c>
      <c r="BD378" s="266">
        <f>IF(AZ378=4,G378,0)</f>
        <v>0</v>
      </c>
      <c r="BE378" s="266">
        <f>IF(AZ378=5,G378,0)</f>
        <v>0</v>
      </c>
      <c r="CA378" s="268">
        <v>1</v>
      </c>
      <c r="CB378" s="268">
        <v>7</v>
      </c>
      <c r="CZ378" s="266">
        <v>0.00026</v>
      </c>
    </row>
    <row r="379" spans="1:15" ht="12.75">
      <c r="A379" s="226"/>
      <c r="B379" s="227"/>
      <c r="C379" s="1588" t="s">
        <v>1358</v>
      </c>
      <c r="D379" s="1589"/>
      <c r="E379" s="228">
        <v>2</v>
      </c>
      <c r="F379" s="229"/>
      <c r="G379" s="230"/>
      <c r="M379" s="234" t="s">
        <v>1358</v>
      </c>
      <c r="O379" s="268"/>
    </row>
    <row r="380" spans="1:104" ht="12.75">
      <c r="A380" s="218">
        <v>86</v>
      </c>
      <c r="B380" s="219" t="s">
        <v>1359</v>
      </c>
      <c r="C380" s="220" t="s">
        <v>1360</v>
      </c>
      <c r="D380" s="221" t="s">
        <v>196</v>
      </c>
      <c r="E380" s="222">
        <v>2</v>
      </c>
      <c r="F380" s="222">
        <v>0</v>
      </c>
      <c r="G380" s="223">
        <f>E380*F380</f>
        <v>0</v>
      </c>
      <c r="O380" s="268">
        <v>2</v>
      </c>
      <c r="AA380" s="266">
        <v>1</v>
      </c>
      <c r="AB380" s="266">
        <v>7</v>
      </c>
      <c r="AC380" s="266">
        <v>7</v>
      </c>
      <c r="AZ380" s="266">
        <v>2</v>
      </c>
      <c r="BA380" s="266">
        <f>IF(AZ380=1,G380,0)</f>
        <v>0</v>
      </c>
      <c r="BB380" s="266">
        <f>IF(AZ380=2,G380,0)</f>
        <v>0</v>
      </c>
      <c r="BC380" s="266">
        <f>IF(AZ380=3,G380,0)</f>
        <v>0</v>
      </c>
      <c r="BD380" s="266">
        <f>IF(AZ380=4,G380,0)</f>
        <v>0</v>
      </c>
      <c r="BE380" s="266">
        <f>IF(AZ380=5,G380,0)</f>
        <v>0</v>
      </c>
      <c r="CA380" s="268">
        <v>1</v>
      </c>
      <c r="CB380" s="268">
        <v>7</v>
      </c>
      <c r="CZ380" s="266">
        <v>3E-05</v>
      </c>
    </row>
    <row r="381" spans="1:15" ht="12.75">
      <c r="A381" s="226"/>
      <c r="B381" s="227"/>
      <c r="C381" s="1588" t="s">
        <v>1361</v>
      </c>
      <c r="D381" s="1589"/>
      <c r="E381" s="228">
        <v>2</v>
      </c>
      <c r="F381" s="229"/>
      <c r="G381" s="230"/>
      <c r="M381" s="234" t="s">
        <v>1361</v>
      </c>
      <c r="O381" s="268"/>
    </row>
    <row r="382" spans="1:104" ht="12.75">
      <c r="A382" s="218">
        <v>87</v>
      </c>
      <c r="B382" s="219" t="s">
        <v>845</v>
      </c>
      <c r="C382" s="220" t="s">
        <v>846</v>
      </c>
      <c r="D382" s="221" t="s">
        <v>196</v>
      </c>
      <c r="E382" s="222">
        <v>-1</v>
      </c>
      <c r="F382" s="222">
        <v>0</v>
      </c>
      <c r="G382" s="223">
        <f>E382*F382</f>
        <v>0</v>
      </c>
      <c r="O382" s="268">
        <v>2</v>
      </c>
      <c r="AA382" s="266">
        <v>1</v>
      </c>
      <c r="AB382" s="266">
        <v>7</v>
      </c>
      <c r="AC382" s="266">
        <v>7</v>
      </c>
      <c r="AZ382" s="266">
        <v>2</v>
      </c>
      <c r="BA382" s="266">
        <f>IF(AZ382=1,G382,0)</f>
        <v>0</v>
      </c>
      <c r="BB382" s="266">
        <f>IF(AZ382=2,G382,0)</f>
        <v>0</v>
      </c>
      <c r="BC382" s="266">
        <f>IF(AZ382=3,G382,0)</f>
        <v>0</v>
      </c>
      <c r="BD382" s="266">
        <f>IF(AZ382=4,G382,0)</f>
        <v>0</v>
      </c>
      <c r="BE382" s="266">
        <f>IF(AZ382=5,G382,0)</f>
        <v>0</v>
      </c>
      <c r="CA382" s="268">
        <v>1</v>
      </c>
      <c r="CB382" s="268">
        <v>7</v>
      </c>
      <c r="CZ382" s="266">
        <v>0.0227</v>
      </c>
    </row>
    <row r="383" spans="1:104" ht="12.75">
      <c r="A383" s="218">
        <v>88</v>
      </c>
      <c r="B383" s="219" t="s">
        <v>847</v>
      </c>
      <c r="C383" s="220" t="s">
        <v>848</v>
      </c>
      <c r="D383" s="221" t="s">
        <v>231</v>
      </c>
      <c r="E383" s="222">
        <v>-13.3</v>
      </c>
      <c r="F383" s="222">
        <v>0</v>
      </c>
      <c r="G383" s="223">
        <f>E383*F383</f>
        <v>0</v>
      </c>
      <c r="O383" s="268">
        <v>2</v>
      </c>
      <c r="AA383" s="266">
        <v>1</v>
      </c>
      <c r="AB383" s="266">
        <v>7</v>
      </c>
      <c r="AC383" s="266">
        <v>7</v>
      </c>
      <c r="AZ383" s="266">
        <v>2</v>
      </c>
      <c r="BA383" s="266">
        <f>IF(AZ383=1,G383,0)</f>
        <v>0</v>
      </c>
      <c r="BB383" s="266">
        <f>IF(AZ383=2,G383,0)</f>
        <v>0</v>
      </c>
      <c r="BC383" s="266">
        <f>IF(AZ383=3,G383,0)</f>
        <v>0</v>
      </c>
      <c r="BD383" s="266">
        <f>IF(AZ383=4,G383,0)</f>
        <v>0</v>
      </c>
      <c r="BE383" s="266">
        <f>IF(AZ383=5,G383,0)</f>
        <v>0</v>
      </c>
      <c r="CA383" s="268">
        <v>1</v>
      </c>
      <c r="CB383" s="268">
        <v>7</v>
      </c>
      <c r="CZ383" s="266">
        <v>0.00531</v>
      </c>
    </row>
    <row r="384" spans="1:104" ht="12.75">
      <c r="A384" s="218">
        <v>89</v>
      </c>
      <c r="B384" s="219" t="s">
        <v>1362</v>
      </c>
      <c r="C384" s="220" t="s">
        <v>1363</v>
      </c>
      <c r="D384" s="221" t="s">
        <v>231</v>
      </c>
      <c r="E384" s="222">
        <v>6.8</v>
      </c>
      <c r="F384" s="222">
        <v>0</v>
      </c>
      <c r="G384" s="223">
        <f>E384*F384</f>
        <v>0</v>
      </c>
      <c r="O384" s="268">
        <v>2</v>
      </c>
      <c r="AA384" s="266">
        <v>1</v>
      </c>
      <c r="AB384" s="266">
        <v>7</v>
      </c>
      <c r="AC384" s="266">
        <v>7</v>
      </c>
      <c r="AZ384" s="266">
        <v>2</v>
      </c>
      <c r="BA384" s="266">
        <f>IF(AZ384=1,G384,0)</f>
        <v>0</v>
      </c>
      <c r="BB384" s="266">
        <f>IF(AZ384=2,G384,0)</f>
        <v>0</v>
      </c>
      <c r="BC384" s="266">
        <f>IF(AZ384=3,G384,0)</f>
        <v>0</v>
      </c>
      <c r="BD384" s="266">
        <f>IF(AZ384=4,G384,0)</f>
        <v>0</v>
      </c>
      <c r="BE384" s="266">
        <f>IF(AZ384=5,G384,0)</f>
        <v>0</v>
      </c>
      <c r="CA384" s="268">
        <v>1</v>
      </c>
      <c r="CB384" s="268">
        <v>7</v>
      </c>
      <c r="CZ384" s="266">
        <v>0.00086</v>
      </c>
    </row>
    <row r="385" spans="1:15" ht="12.75">
      <c r="A385" s="226"/>
      <c r="B385" s="227"/>
      <c r="C385" s="1588" t="s">
        <v>1364</v>
      </c>
      <c r="D385" s="1589"/>
      <c r="E385" s="228">
        <v>6.8</v>
      </c>
      <c r="F385" s="229"/>
      <c r="G385" s="230"/>
      <c r="M385" s="234" t="s">
        <v>1364</v>
      </c>
      <c r="O385" s="268"/>
    </row>
    <row r="386" spans="1:104" ht="12.75">
      <c r="A386" s="218">
        <v>90</v>
      </c>
      <c r="B386" s="219" t="s">
        <v>849</v>
      </c>
      <c r="C386" s="220" t="s">
        <v>850</v>
      </c>
      <c r="D386" s="221" t="s">
        <v>231</v>
      </c>
      <c r="E386" s="222">
        <v>2.1375</v>
      </c>
      <c r="F386" s="222">
        <v>0</v>
      </c>
      <c r="G386" s="223">
        <f>E386*F386</f>
        <v>0</v>
      </c>
      <c r="O386" s="268">
        <v>2</v>
      </c>
      <c r="AA386" s="266">
        <v>1</v>
      </c>
      <c r="AB386" s="266">
        <v>7</v>
      </c>
      <c r="AC386" s="266">
        <v>7</v>
      </c>
      <c r="AZ386" s="266">
        <v>2</v>
      </c>
      <c r="BA386" s="266">
        <f>IF(AZ386=1,G386,0)</f>
        <v>0</v>
      </c>
      <c r="BB386" s="266">
        <f>IF(AZ386=2,G386,0)</f>
        <v>0</v>
      </c>
      <c r="BC386" s="266">
        <f>IF(AZ386=3,G386,0)</f>
        <v>0</v>
      </c>
      <c r="BD386" s="266">
        <f>IF(AZ386=4,G386,0)</f>
        <v>0</v>
      </c>
      <c r="BE386" s="266">
        <f>IF(AZ386=5,G386,0)</f>
        <v>0</v>
      </c>
      <c r="CA386" s="268">
        <v>1</v>
      </c>
      <c r="CB386" s="268">
        <v>7</v>
      </c>
      <c r="CZ386" s="266">
        <v>0.00254</v>
      </c>
    </row>
    <row r="387" spans="1:15" ht="12.75">
      <c r="A387" s="226"/>
      <c r="B387" s="227"/>
      <c r="C387" s="1588" t="s">
        <v>1365</v>
      </c>
      <c r="D387" s="1589"/>
      <c r="E387" s="228">
        <v>9.4875</v>
      </c>
      <c r="F387" s="229"/>
      <c r="G387" s="230"/>
      <c r="M387" s="234" t="s">
        <v>1365</v>
      </c>
      <c r="O387" s="268"/>
    </row>
    <row r="388" spans="1:15" ht="12.75">
      <c r="A388" s="226"/>
      <c r="B388" s="227"/>
      <c r="C388" s="1588" t="s">
        <v>1366</v>
      </c>
      <c r="D388" s="1589"/>
      <c r="E388" s="228">
        <v>-7.35</v>
      </c>
      <c r="F388" s="229"/>
      <c r="G388" s="230"/>
      <c r="M388" s="234" t="s">
        <v>1366</v>
      </c>
      <c r="O388" s="268"/>
    </row>
    <row r="389" spans="1:104" ht="12.75">
      <c r="A389" s="218">
        <v>91</v>
      </c>
      <c r="B389" s="219" t="s">
        <v>854</v>
      </c>
      <c r="C389" s="220" t="s">
        <v>855</v>
      </c>
      <c r="D389" s="221" t="s">
        <v>231</v>
      </c>
      <c r="E389" s="222">
        <v>0.45</v>
      </c>
      <c r="F389" s="222">
        <v>0</v>
      </c>
      <c r="G389" s="223">
        <f>E389*F389</f>
        <v>0</v>
      </c>
      <c r="O389" s="268">
        <v>2</v>
      </c>
      <c r="AA389" s="266">
        <v>1</v>
      </c>
      <c r="AB389" s="266">
        <v>7</v>
      </c>
      <c r="AC389" s="266">
        <v>7</v>
      </c>
      <c r="AZ389" s="266">
        <v>2</v>
      </c>
      <c r="BA389" s="266">
        <f>IF(AZ389=1,G389,0)</f>
        <v>0</v>
      </c>
      <c r="BB389" s="266">
        <f>IF(AZ389=2,G389,0)</f>
        <v>0</v>
      </c>
      <c r="BC389" s="266">
        <f>IF(AZ389=3,G389,0)</f>
        <v>0</v>
      </c>
      <c r="BD389" s="266">
        <f>IF(AZ389=4,G389,0)</f>
        <v>0</v>
      </c>
      <c r="BE389" s="266">
        <f>IF(AZ389=5,G389,0)</f>
        <v>0</v>
      </c>
      <c r="CA389" s="268">
        <v>1</v>
      </c>
      <c r="CB389" s="268">
        <v>7</v>
      </c>
      <c r="CZ389" s="266">
        <v>0.0026</v>
      </c>
    </row>
    <row r="390" spans="1:15" ht="12.75">
      <c r="A390" s="226"/>
      <c r="B390" s="227"/>
      <c r="C390" s="1588" t="s">
        <v>1367</v>
      </c>
      <c r="D390" s="1589"/>
      <c r="E390" s="228">
        <v>2.45</v>
      </c>
      <c r="F390" s="229"/>
      <c r="G390" s="230"/>
      <c r="M390" s="234" t="s">
        <v>1367</v>
      </c>
      <c r="O390" s="268"/>
    </row>
    <row r="391" spans="1:15" ht="12.75">
      <c r="A391" s="226"/>
      <c r="B391" s="227"/>
      <c r="C391" s="1588" t="s">
        <v>1368</v>
      </c>
      <c r="D391" s="1589"/>
      <c r="E391" s="228">
        <v>-2</v>
      </c>
      <c r="F391" s="229"/>
      <c r="G391" s="230"/>
      <c r="M391" s="234">
        <v>-2</v>
      </c>
      <c r="O391" s="268"/>
    </row>
    <row r="392" spans="1:104" ht="12.75">
      <c r="A392" s="218">
        <v>92</v>
      </c>
      <c r="B392" s="219" t="s">
        <v>1369</v>
      </c>
      <c r="C392" s="220" t="s">
        <v>1370</v>
      </c>
      <c r="D392" s="221" t="s">
        <v>757</v>
      </c>
      <c r="E392" s="222">
        <v>2</v>
      </c>
      <c r="F392" s="222">
        <v>0</v>
      </c>
      <c r="G392" s="223">
        <f>E392*F392</f>
        <v>0</v>
      </c>
      <c r="O392" s="268">
        <v>2</v>
      </c>
      <c r="AA392" s="266">
        <v>1</v>
      </c>
      <c r="AB392" s="266">
        <v>7</v>
      </c>
      <c r="AC392" s="266">
        <v>7</v>
      </c>
      <c r="AZ392" s="266">
        <v>2</v>
      </c>
      <c r="BA392" s="266">
        <f>IF(AZ392=1,G392,0)</f>
        <v>0</v>
      </c>
      <c r="BB392" s="266">
        <f>IF(AZ392=2,G392,0)</f>
        <v>0</v>
      </c>
      <c r="BC392" s="266">
        <f>IF(AZ392=3,G392,0)</f>
        <v>0</v>
      </c>
      <c r="BD392" s="266">
        <f>IF(AZ392=4,G392,0)</f>
        <v>0</v>
      </c>
      <c r="BE392" s="266">
        <f>IF(AZ392=5,G392,0)</f>
        <v>0</v>
      </c>
      <c r="CA392" s="268">
        <v>1</v>
      </c>
      <c r="CB392" s="268">
        <v>7</v>
      </c>
      <c r="CZ392" s="266">
        <v>0.00322</v>
      </c>
    </row>
    <row r="393" spans="1:15" ht="12.75">
      <c r="A393" s="226"/>
      <c r="B393" s="227"/>
      <c r="C393" s="1588" t="s">
        <v>1371</v>
      </c>
      <c r="D393" s="1589"/>
      <c r="E393" s="228">
        <v>2</v>
      </c>
      <c r="F393" s="229"/>
      <c r="G393" s="230"/>
      <c r="M393" s="234" t="s">
        <v>1371</v>
      </c>
      <c r="O393" s="268"/>
    </row>
    <row r="394" spans="1:104" ht="12.75">
      <c r="A394" s="218">
        <v>93</v>
      </c>
      <c r="B394" s="219" t="s">
        <v>252</v>
      </c>
      <c r="C394" s="220" t="s">
        <v>253</v>
      </c>
      <c r="D394" s="221" t="s">
        <v>9</v>
      </c>
      <c r="E394" s="222"/>
      <c r="F394" s="222">
        <v>0</v>
      </c>
      <c r="G394" s="223">
        <f>E394*F394</f>
        <v>0</v>
      </c>
      <c r="O394" s="268">
        <v>2</v>
      </c>
      <c r="AA394" s="266">
        <v>7</v>
      </c>
      <c r="AB394" s="266">
        <v>1002</v>
      </c>
      <c r="AC394" s="266">
        <v>5</v>
      </c>
      <c r="AZ394" s="266">
        <v>2</v>
      </c>
      <c r="BA394" s="266">
        <f>IF(AZ394=1,G394,0)</f>
        <v>0</v>
      </c>
      <c r="BB394" s="266">
        <f>IF(AZ394=2,G394,0)</f>
        <v>0</v>
      </c>
      <c r="BC394" s="266">
        <f>IF(AZ394=3,G394,0)</f>
        <v>0</v>
      </c>
      <c r="BD394" s="266">
        <f>IF(AZ394=4,G394,0)</f>
        <v>0</v>
      </c>
      <c r="BE394" s="266">
        <f>IF(AZ394=5,G394,0)</f>
        <v>0</v>
      </c>
      <c r="CA394" s="268">
        <v>7</v>
      </c>
      <c r="CB394" s="268">
        <v>1002</v>
      </c>
      <c r="CZ394" s="266">
        <v>0</v>
      </c>
    </row>
    <row r="395" spans="1:57" ht="12.75">
      <c r="A395" s="236"/>
      <c r="B395" s="237" t="s">
        <v>175</v>
      </c>
      <c r="C395" s="238" t="str">
        <f>CONCATENATE(B367," ",C367)</f>
        <v>764 Konstrukce klempířské</v>
      </c>
      <c r="D395" s="239"/>
      <c r="E395" s="240"/>
      <c r="F395" s="241"/>
      <c r="G395" s="242">
        <f>SUM(G367:G394)</f>
        <v>0</v>
      </c>
      <c r="O395" s="268">
        <v>4</v>
      </c>
      <c r="BA395" s="269">
        <f>SUM(BA367:BA394)</f>
        <v>0</v>
      </c>
      <c r="BB395" s="269">
        <f>SUM(BB367:BB394)</f>
        <v>0</v>
      </c>
      <c r="BC395" s="269">
        <f>SUM(BC367:BC394)</f>
        <v>0</v>
      </c>
      <c r="BD395" s="269">
        <f>SUM(BD367:BD394)</f>
        <v>0</v>
      </c>
      <c r="BE395" s="269">
        <f>SUM(BE367:BE394)</f>
        <v>0</v>
      </c>
    </row>
    <row r="396" spans="1:15" ht="12.75">
      <c r="A396" s="207" t="s">
        <v>140</v>
      </c>
      <c r="B396" s="208" t="s">
        <v>857</v>
      </c>
      <c r="C396" s="209" t="s">
        <v>858</v>
      </c>
      <c r="D396" s="210"/>
      <c r="E396" s="211"/>
      <c r="F396" s="211"/>
      <c r="G396" s="212"/>
      <c r="H396" s="267"/>
      <c r="I396" s="267"/>
      <c r="O396" s="268">
        <v>1</v>
      </c>
    </row>
    <row r="397" spans="1:104" ht="12.75">
      <c r="A397" s="218">
        <v>94</v>
      </c>
      <c r="B397" s="219" t="s">
        <v>1372</v>
      </c>
      <c r="C397" s="220" t="s">
        <v>1373</v>
      </c>
      <c r="D397" s="221" t="s">
        <v>231</v>
      </c>
      <c r="E397" s="222">
        <v>26.6</v>
      </c>
      <c r="F397" s="222">
        <v>0</v>
      </c>
      <c r="G397" s="223">
        <f>E397*F397</f>
        <v>0</v>
      </c>
      <c r="O397" s="268">
        <v>2</v>
      </c>
      <c r="AA397" s="266">
        <v>1</v>
      </c>
      <c r="AB397" s="266">
        <v>7</v>
      </c>
      <c r="AC397" s="266">
        <v>7</v>
      </c>
      <c r="AZ397" s="266">
        <v>2</v>
      </c>
      <c r="BA397" s="266">
        <f>IF(AZ397=1,G397,0)</f>
        <v>0</v>
      </c>
      <c r="BB397" s="266">
        <f>IF(AZ397=2,G397,0)</f>
        <v>0</v>
      </c>
      <c r="BC397" s="266">
        <f>IF(AZ397=3,G397,0)</f>
        <v>0</v>
      </c>
      <c r="BD397" s="266">
        <f>IF(AZ397=4,G397,0)</f>
        <v>0</v>
      </c>
      <c r="BE397" s="266">
        <f>IF(AZ397=5,G397,0)</f>
        <v>0</v>
      </c>
      <c r="CA397" s="268">
        <v>1</v>
      </c>
      <c r="CB397" s="268">
        <v>7</v>
      </c>
      <c r="CZ397" s="266">
        <v>0.00049</v>
      </c>
    </row>
    <row r="398" spans="1:15" ht="12.75">
      <c r="A398" s="226"/>
      <c r="B398" s="227"/>
      <c r="C398" s="1588" t="s">
        <v>1374</v>
      </c>
      <c r="D398" s="1589"/>
      <c r="E398" s="228">
        <v>26.6</v>
      </c>
      <c r="F398" s="229"/>
      <c r="G398" s="230"/>
      <c r="M398" s="234" t="s">
        <v>1374</v>
      </c>
      <c r="O398" s="268"/>
    </row>
    <row r="399" spans="1:104" ht="12.75">
      <c r="A399" s="218">
        <v>95</v>
      </c>
      <c r="B399" s="219" t="s">
        <v>859</v>
      </c>
      <c r="C399" s="220" t="s">
        <v>860</v>
      </c>
      <c r="D399" s="221" t="s">
        <v>145</v>
      </c>
      <c r="E399" s="222">
        <v>-9.31</v>
      </c>
      <c r="F399" s="222">
        <v>0</v>
      </c>
      <c r="G399" s="223">
        <f>E399*F399</f>
        <v>0</v>
      </c>
      <c r="O399" s="268">
        <v>2</v>
      </c>
      <c r="AA399" s="266">
        <v>1</v>
      </c>
      <c r="AB399" s="266">
        <v>7</v>
      </c>
      <c r="AC399" s="266">
        <v>7</v>
      </c>
      <c r="AZ399" s="266">
        <v>2</v>
      </c>
      <c r="BA399" s="266">
        <f>IF(AZ399=1,G399,0)</f>
        <v>0</v>
      </c>
      <c r="BB399" s="266">
        <f>IF(AZ399=2,G399,0)</f>
        <v>0</v>
      </c>
      <c r="BC399" s="266">
        <f>IF(AZ399=3,G399,0)</f>
        <v>0</v>
      </c>
      <c r="BD399" s="266">
        <f>IF(AZ399=4,G399,0)</f>
        <v>0</v>
      </c>
      <c r="BE399" s="266">
        <f>IF(AZ399=5,G399,0)</f>
        <v>0</v>
      </c>
      <c r="CA399" s="268">
        <v>1</v>
      </c>
      <c r="CB399" s="268">
        <v>7</v>
      </c>
      <c r="CZ399" s="266">
        <v>0.00042</v>
      </c>
    </row>
    <row r="400" spans="1:15" ht="12.75">
      <c r="A400" s="226"/>
      <c r="B400" s="227"/>
      <c r="C400" s="1588" t="s">
        <v>1320</v>
      </c>
      <c r="D400" s="1589"/>
      <c r="E400" s="228">
        <v>86.45</v>
      </c>
      <c r="F400" s="229"/>
      <c r="G400" s="230"/>
      <c r="M400" s="234" t="s">
        <v>1320</v>
      </c>
      <c r="O400" s="268"/>
    </row>
    <row r="401" spans="1:15" ht="12.75">
      <c r="A401" s="226"/>
      <c r="B401" s="227"/>
      <c r="C401" s="1588" t="s">
        <v>1321</v>
      </c>
      <c r="D401" s="1589"/>
      <c r="E401" s="228">
        <v>-95.76</v>
      </c>
      <c r="F401" s="229"/>
      <c r="G401" s="230"/>
      <c r="M401" s="234" t="s">
        <v>1321</v>
      </c>
      <c r="O401" s="268"/>
    </row>
    <row r="402" spans="1:104" ht="12.75">
      <c r="A402" s="218">
        <v>96</v>
      </c>
      <c r="B402" s="219" t="s">
        <v>861</v>
      </c>
      <c r="C402" s="220" t="s">
        <v>862</v>
      </c>
      <c r="D402" s="221" t="s">
        <v>9</v>
      </c>
      <c r="E402" s="222"/>
      <c r="F402" s="222">
        <v>0</v>
      </c>
      <c r="G402" s="223">
        <f>E402*F402</f>
        <v>0</v>
      </c>
      <c r="O402" s="268">
        <v>2</v>
      </c>
      <c r="AA402" s="266">
        <v>7</v>
      </c>
      <c r="AB402" s="266">
        <v>1002</v>
      </c>
      <c r="AC402" s="266">
        <v>5</v>
      </c>
      <c r="AZ402" s="266">
        <v>2</v>
      </c>
      <c r="BA402" s="266">
        <f>IF(AZ402=1,G402,0)</f>
        <v>0</v>
      </c>
      <c r="BB402" s="266">
        <f>IF(AZ402=2,G402,0)</f>
        <v>0</v>
      </c>
      <c r="BC402" s="266">
        <f>IF(AZ402=3,G402,0)</f>
        <v>0</v>
      </c>
      <c r="BD402" s="266">
        <f>IF(AZ402=4,G402,0)</f>
        <v>0</v>
      </c>
      <c r="BE402" s="266">
        <f>IF(AZ402=5,G402,0)</f>
        <v>0</v>
      </c>
      <c r="CA402" s="268">
        <v>7</v>
      </c>
      <c r="CB402" s="268">
        <v>1002</v>
      </c>
      <c r="CZ402" s="266">
        <v>0</v>
      </c>
    </row>
    <row r="403" spans="1:57" ht="12.75">
      <c r="A403" s="236"/>
      <c r="B403" s="237" t="s">
        <v>175</v>
      </c>
      <c r="C403" s="238" t="str">
        <f>CONCATENATE(B396," ",C396)</f>
        <v>765 Krytiny tvrdé</v>
      </c>
      <c r="D403" s="239"/>
      <c r="E403" s="240"/>
      <c r="F403" s="241"/>
      <c r="G403" s="242">
        <f>SUM(G396:G402)</f>
        <v>0</v>
      </c>
      <c r="O403" s="268">
        <v>4</v>
      </c>
      <c r="BA403" s="269">
        <f>SUM(BA396:BA402)</f>
        <v>0</v>
      </c>
      <c r="BB403" s="269">
        <f>SUM(BB396:BB402)</f>
        <v>0</v>
      </c>
      <c r="BC403" s="269">
        <f>SUM(BC396:BC402)</f>
        <v>0</v>
      </c>
      <c r="BD403" s="269">
        <f>SUM(BD396:BD402)</f>
        <v>0</v>
      </c>
      <c r="BE403" s="269">
        <f>SUM(BE396:BE402)</f>
        <v>0</v>
      </c>
    </row>
    <row r="404" spans="1:15" ht="12.75">
      <c r="A404" s="207" t="s">
        <v>140</v>
      </c>
      <c r="B404" s="208" t="s">
        <v>864</v>
      </c>
      <c r="C404" s="209" t="s">
        <v>865</v>
      </c>
      <c r="D404" s="210"/>
      <c r="E404" s="211"/>
      <c r="F404" s="211"/>
      <c r="G404" s="212"/>
      <c r="H404" s="267"/>
      <c r="I404" s="267"/>
      <c r="O404" s="268">
        <v>1</v>
      </c>
    </row>
    <row r="405" spans="1:104" ht="12.75">
      <c r="A405" s="218">
        <v>97</v>
      </c>
      <c r="B405" s="219" t="s">
        <v>866</v>
      </c>
      <c r="C405" s="220" t="s">
        <v>867</v>
      </c>
      <c r="D405" s="221" t="s">
        <v>145</v>
      </c>
      <c r="E405" s="222">
        <v>-13.1</v>
      </c>
      <c r="F405" s="222">
        <v>0</v>
      </c>
      <c r="G405" s="223">
        <f>E405*F405</f>
        <v>0</v>
      </c>
      <c r="O405" s="268">
        <v>2</v>
      </c>
      <c r="AA405" s="266">
        <v>1</v>
      </c>
      <c r="AB405" s="266">
        <v>7</v>
      </c>
      <c r="AC405" s="266">
        <v>7</v>
      </c>
      <c r="AZ405" s="266">
        <v>2</v>
      </c>
      <c r="BA405" s="266">
        <f>IF(AZ405=1,G405,0)</f>
        <v>0</v>
      </c>
      <c r="BB405" s="266">
        <f>IF(AZ405=2,G405,0)</f>
        <v>0</v>
      </c>
      <c r="BC405" s="266">
        <f>IF(AZ405=3,G405,0)</f>
        <v>0</v>
      </c>
      <c r="BD405" s="266">
        <f>IF(AZ405=4,G405,0)</f>
        <v>0</v>
      </c>
      <c r="BE405" s="266">
        <f>IF(AZ405=5,G405,0)</f>
        <v>0</v>
      </c>
      <c r="CA405" s="268">
        <v>1</v>
      </c>
      <c r="CB405" s="268">
        <v>7</v>
      </c>
      <c r="CZ405" s="266">
        <v>0.0002</v>
      </c>
    </row>
    <row r="406" spans="1:15" ht="12.75">
      <c r="A406" s="226"/>
      <c r="B406" s="227"/>
      <c r="C406" s="1588" t="s">
        <v>1375</v>
      </c>
      <c r="D406" s="1589"/>
      <c r="E406" s="228">
        <v>5.365</v>
      </c>
      <c r="F406" s="229"/>
      <c r="G406" s="230"/>
      <c r="M406" s="234" t="s">
        <v>1375</v>
      </c>
      <c r="O406" s="268"/>
    </row>
    <row r="407" spans="1:15" ht="12.75">
      <c r="A407" s="226"/>
      <c r="B407" s="227"/>
      <c r="C407" s="1588" t="s">
        <v>1376</v>
      </c>
      <c r="D407" s="1589"/>
      <c r="E407" s="228">
        <v>4.8</v>
      </c>
      <c r="F407" s="229"/>
      <c r="G407" s="230"/>
      <c r="M407" s="234" t="s">
        <v>1376</v>
      </c>
      <c r="O407" s="268"/>
    </row>
    <row r="408" spans="1:15" ht="12.75">
      <c r="A408" s="226"/>
      <c r="B408" s="227"/>
      <c r="C408" s="1588" t="s">
        <v>1377</v>
      </c>
      <c r="D408" s="1589"/>
      <c r="E408" s="228">
        <v>4.8</v>
      </c>
      <c r="F408" s="229"/>
      <c r="G408" s="230"/>
      <c r="M408" s="234" t="s">
        <v>1377</v>
      </c>
      <c r="O408" s="268"/>
    </row>
    <row r="409" spans="1:15" ht="12.75">
      <c r="A409" s="226"/>
      <c r="B409" s="227"/>
      <c r="C409" s="1588" t="s">
        <v>1378</v>
      </c>
      <c r="D409" s="1589"/>
      <c r="E409" s="228">
        <v>5.365</v>
      </c>
      <c r="F409" s="229"/>
      <c r="G409" s="230"/>
      <c r="M409" s="234" t="s">
        <v>1378</v>
      </c>
      <c r="O409" s="268"/>
    </row>
    <row r="410" spans="1:15" ht="12.75">
      <c r="A410" s="226"/>
      <c r="B410" s="227"/>
      <c r="C410" s="1588" t="s">
        <v>1379</v>
      </c>
      <c r="D410" s="1589"/>
      <c r="E410" s="228">
        <v>0.28</v>
      </c>
      <c r="F410" s="229"/>
      <c r="G410" s="230"/>
      <c r="M410" s="234" t="s">
        <v>1379</v>
      </c>
      <c r="O410" s="268"/>
    </row>
    <row r="411" spans="1:15" ht="12.75">
      <c r="A411" s="226"/>
      <c r="B411" s="227"/>
      <c r="C411" s="1588" t="s">
        <v>1380</v>
      </c>
      <c r="D411" s="1589"/>
      <c r="E411" s="228">
        <v>-33.71</v>
      </c>
      <c r="F411" s="229"/>
      <c r="G411" s="230"/>
      <c r="M411" s="234" t="s">
        <v>1380</v>
      </c>
      <c r="O411" s="268"/>
    </row>
    <row r="412" spans="1:104" ht="20.4">
      <c r="A412" s="218">
        <v>98</v>
      </c>
      <c r="B412" s="219" t="s">
        <v>871</v>
      </c>
      <c r="C412" s="220" t="s">
        <v>872</v>
      </c>
      <c r="D412" s="221" t="s">
        <v>231</v>
      </c>
      <c r="E412" s="222">
        <v>-3.7</v>
      </c>
      <c r="F412" s="222">
        <v>0</v>
      </c>
      <c r="G412" s="223">
        <f>E412*F412</f>
        <v>0</v>
      </c>
      <c r="O412" s="268">
        <v>2</v>
      </c>
      <c r="AA412" s="266">
        <v>1</v>
      </c>
      <c r="AB412" s="266">
        <v>7</v>
      </c>
      <c r="AC412" s="266">
        <v>7</v>
      </c>
      <c r="AZ412" s="266">
        <v>2</v>
      </c>
      <c r="BA412" s="266">
        <f>IF(AZ412=1,G412,0)</f>
        <v>0</v>
      </c>
      <c r="BB412" s="266">
        <f>IF(AZ412=2,G412,0)</f>
        <v>0</v>
      </c>
      <c r="BC412" s="266">
        <f>IF(AZ412=3,G412,0)</f>
        <v>0</v>
      </c>
      <c r="BD412" s="266">
        <f>IF(AZ412=4,G412,0)</f>
        <v>0</v>
      </c>
      <c r="BE412" s="266">
        <f>IF(AZ412=5,G412,0)</f>
        <v>0</v>
      </c>
      <c r="CA412" s="268">
        <v>1</v>
      </c>
      <c r="CB412" s="268">
        <v>7</v>
      </c>
      <c r="CZ412" s="266">
        <v>4E-05</v>
      </c>
    </row>
    <row r="413" spans="1:15" ht="12.75">
      <c r="A413" s="226"/>
      <c r="B413" s="227"/>
      <c r="C413" s="1588" t="s">
        <v>1381</v>
      </c>
      <c r="D413" s="1589"/>
      <c r="E413" s="228">
        <v>4.4</v>
      </c>
      <c r="F413" s="229"/>
      <c r="G413" s="230"/>
      <c r="M413" s="234" t="s">
        <v>1381</v>
      </c>
      <c r="O413" s="268"/>
    </row>
    <row r="414" spans="1:15" ht="12.75">
      <c r="A414" s="226"/>
      <c r="B414" s="227"/>
      <c r="C414" s="1588" t="s">
        <v>1382</v>
      </c>
      <c r="D414" s="1589"/>
      <c r="E414" s="228">
        <v>4.15</v>
      </c>
      <c r="F414" s="229"/>
      <c r="G414" s="230"/>
      <c r="M414" s="234" t="s">
        <v>1382</v>
      </c>
      <c r="O414" s="268"/>
    </row>
    <row r="415" spans="1:15" ht="12.75">
      <c r="A415" s="226"/>
      <c r="B415" s="227"/>
      <c r="C415" s="1588" t="s">
        <v>1383</v>
      </c>
      <c r="D415" s="1589"/>
      <c r="E415" s="228">
        <v>5.4</v>
      </c>
      <c r="F415" s="229"/>
      <c r="G415" s="230"/>
      <c r="M415" s="234" t="s">
        <v>1383</v>
      </c>
      <c r="O415" s="268"/>
    </row>
    <row r="416" spans="1:15" ht="12.75">
      <c r="A416" s="226"/>
      <c r="B416" s="227"/>
      <c r="C416" s="1588" t="s">
        <v>1384</v>
      </c>
      <c r="D416" s="1589"/>
      <c r="E416" s="228">
        <v>5.2</v>
      </c>
      <c r="F416" s="229"/>
      <c r="G416" s="230"/>
      <c r="M416" s="234" t="s">
        <v>1384</v>
      </c>
      <c r="O416" s="268"/>
    </row>
    <row r="417" spans="1:15" ht="12.75">
      <c r="A417" s="226"/>
      <c r="B417" s="227"/>
      <c r="C417" s="1588" t="s">
        <v>1385</v>
      </c>
      <c r="D417" s="1589"/>
      <c r="E417" s="228">
        <v>5.1</v>
      </c>
      <c r="F417" s="229"/>
      <c r="G417" s="230"/>
      <c r="M417" s="234" t="s">
        <v>1385</v>
      </c>
      <c r="O417" s="268"/>
    </row>
    <row r="418" spans="1:15" ht="12.75">
      <c r="A418" s="226"/>
      <c r="B418" s="227"/>
      <c r="C418" s="1588" t="s">
        <v>1386</v>
      </c>
      <c r="D418" s="1589"/>
      <c r="E418" s="228">
        <v>5.1</v>
      </c>
      <c r="F418" s="229"/>
      <c r="G418" s="230"/>
      <c r="M418" s="234" t="s">
        <v>1386</v>
      </c>
      <c r="O418" s="268"/>
    </row>
    <row r="419" spans="1:15" ht="12.75">
      <c r="A419" s="226"/>
      <c r="B419" s="227"/>
      <c r="C419" s="1588" t="s">
        <v>1387</v>
      </c>
      <c r="D419" s="1589"/>
      <c r="E419" s="228">
        <v>5.1</v>
      </c>
      <c r="F419" s="229"/>
      <c r="G419" s="230"/>
      <c r="M419" s="234" t="s">
        <v>1387</v>
      </c>
      <c r="O419" s="268"/>
    </row>
    <row r="420" spans="1:15" ht="12.75">
      <c r="A420" s="226"/>
      <c r="B420" s="227"/>
      <c r="C420" s="1588" t="s">
        <v>1388</v>
      </c>
      <c r="D420" s="1589"/>
      <c r="E420" s="228">
        <v>-38.15</v>
      </c>
      <c r="F420" s="229"/>
      <c r="G420" s="230"/>
      <c r="M420" s="234" t="s">
        <v>1388</v>
      </c>
      <c r="O420" s="268"/>
    </row>
    <row r="421" spans="1:104" ht="20.4">
      <c r="A421" s="218">
        <v>99</v>
      </c>
      <c r="B421" s="219" t="s">
        <v>878</v>
      </c>
      <c r="C421" s="220" t="s">
        <v>879</v>
      </c>
      <c r="D421" s="221" t="s">
        <v>231</v>
      </c>
      <c r="E421" s="222">
        <v>0.8</v>
      </c>
      <c r="F421" s="222">
        <v>0</v>
      </c>
      <c r="G421" s="223">
        <f>E421*F421</f>
        <v>0</v>
      </c>
      <c r="O421" s="268">
        <v>2</v>
      </c>
      <c r="AA421" s="266">
        <v>1</v>
      </c>
      <c r="AB421" s="266">
        <v>0</v>
      </c>
      <c r="AC421" s="266">
        <v>0</v>
      </c>
      <c r="AZ421" s="266">
        <v>2</v>
      </c>
      <c r="BA421" s="266">
        <f>IF(AZ421=1,G421,0)</f>
        <v>0</v>
      </c>
      <c r="BB421" s="266">
        <f>IF(AZ421=2,G421,0)</f>
        <v>0</v>
      </c>
      <c r="BC421" s="266">
        <f>IF(AZ421=3,G421,0)</f>
        <v>0</v>
      </c>
      <c r="BD421" s="266">
        <f>IF(AZ421=4,G421,0)</f>
        <v>0</v>
      </c>
      <c r="BE421" s="266">
        <f>IF(AZ421=5,G421,0)</f>
        <v>0</v>
      </c>
      <c r="CA421" s="268">
        <v>1</v>
      </c>
      <c r="CB421" s="268">
        <v>0</v>
      </c>
      <c r="CZ421" s="266">
        <v>0.00016</v>
      </c>
    </row>
    <row r="422" spans="1:15" ht="12.75">
      <c r="A422" s="226"/>
      <c r="B422" s="227"/>
      <c r="C422" s="1588" t="s">
        <v>1389</v>
      </c>
      <c r="D422" s="1589"/>
      <c r="E422" s="228">
        <v>2</v>
      </c>
      <c r="F422" s="229"/>
      <c r="G422" s="230"/>
      <c r="M422" s="234" t="s">
        <v>1389</v>
      </c>
      <c r="O422" s="268"/>
    </row>
    <row r="423" spans="1:15" ht="12.75">
      <c r="A423" s="226"/>
      <c r="B423" s="227"/>
      <c r="C423" s="1588" t="s">
        <v>1390</v>
      </c>
      <c r="D423" s="1589"/>
      <c r="E423" s="228">
        <v>2.45</v>
      </c>
      <c r="F423" s="229"/>
      <c r="G423" s="230"/>
      <c r="M423" s="234" t="s">
        <v>1390</v>
      </c>
      <c r="O423" s="268"/>
    </row>
    <row r="424" spans="1:15" ht="12.75">
      <c r="A424" s="226"/>
      <c r="B424" s="227"/>
      <c r="C424" s="1588" t="s">
        <v>1391</v>
      </c>
      <c r="D424" s="1589"/>
      <c r="E424" s="228">
        <v>3.7</v>
      </c>
      <c r="F424" s="229"/>
      <c r="G424" s="230"/>
      <c r="M424" s="234" t="s">
        <v>1391</v>
      </c>
      <c r="O424" s="268"/>
    </row>
    <row r="425" spans="1:15" ht="12.75">
      <c r="A425" s="226"/>
      <c r="B425" s="227"/>
      <c r="C425" s="1588" t="s">
        <v>1366</v>
      </c>
      <c r="D425" s="1589"/>
      <c r="E425" s="228">
        <v>-7.35</v>
      </c>
      <c r="F425" s="229"/>
      <c r="G425" s="230"/>
      <c r="M425" s="234" t="s">
        <v>1366</v>
      </c>
      <c r="O425" s="268"/>
    </row>
    <row r="426" spans="1:104" ht="12.75">
      <c r="A426" s="218">
        <v>100</v>
      </c>
      <c r="B426" s="219" t="s">
        <v>889</v>
      </c>
      <c r="C426" s="220" t="s">
        <v>890</v>
      </c>
      <c r="D426" s="221" t="s">
        <v>181</v>
      </c>
      <c r="E426" s="222">
        <v>-2</v>
      </c>
      <c r="F426" s="222">
        <v>0</v>
      </c>
      <c r="G426" s="223">
        <f>E426*F426</f>
        <v>0</v>
      </c>
      <c r="O426" s="268">
        <v>2</v>
      </c>
      <c r="AA426" s="266">
        <v>1</v>
      </c>
      <c r="AB426" s="266">
        <v>7</v>
      </c>
      <c r="AC426" s="266">
        <v>7</v>
      </c>
      <c r="AZ426" s="266">
        <v>2</v>
      </c>
      <c r="BA426" s="266">
        <f>IF(AZ426=1,G426,0)</f>
        <v>0</v>
      </c>
      <c r="BB426" s="266">
        <f>IF(AZ426=2,G426,0)</f>
        <v>0</v>
      </c>
      <c r="BC426" s="266">
        <f>IF(AZ426=3,G426,0)</f>
        <v>0</v>
      </c>
      <c r="BD426" s="266">
        <f>IF(AZ426=4,G426,0)</f>
        <v>0</v>
      </c>
      <c r="BE426" s="266">
        <f>IF(AZ426=5,G426,0)</f>
        <v>0</v>
      </c>
      <c r="CA426" s="268">
        <v>1</v>
      </c>
      <c r="CB426" s="268">
        <v>7</v>
      </c>
      <c r="CZ426" s="266">
        <v>0.00019</v>
      </c>
    </row>
    <row r="427" spans="1:104" ht="12.75">
      <c r="A427" s="218">
        <v>101</v>
      </c>
      <c r="B427" s="219" t="s">
        <v>891</v>
      </c>
      <c r="C427" s="220" t="s">
        <v>892</v>
      </c>
      <c r="D427" s="221" t="s">
        <v>181</v>
      </c>
      <c r="E427" s="222">
        <v>-1</v>
      </c>
      <c r="F427" s="222"/>
      <c r="G427" s="223">
        <f>E427*F427</f>
        <v>0</v>
      </c>
      <c r="O427" s="268">
        <v>2</v>
      </c>
      <c r="AA427" s="266">
        <v>1</v>
      </c>
      <c r="AB427" s="266">
        <v>7</v>
      </c>
      <c r="AC427" s="266">
        <v>7</v>
      </c>
      <c r="AZ427" s="266">
        <v>2</v>
      </c>
      <c r="BA427" s="266">
        <f>IF(AZ427=1,G427,0)</f>
        <v>0</v>
      </c>
      <c r="BB427" s="266">
        <f>IF(AZ427=2,G427,0)</f>
        <v>0</v>
      </c>
      <c r="BC427" s="266">
        <f>IF(AZ427=3,G427,0)</f>
        <v>0</v>
      </c>
      <c r="BD427" s="266">
        <f>IF(AZ427=4,G427,0)</f>
        <v>0</v>
      </c>
      <c r="BE427" s="266">
        <f>IF(AZ427=5,G427,0)</f>
        <v>0</v>
      </c>
      <c r="CA427" s="268">
        <v>1</v>
      </c>
      <c r="CB427" s="268">
        <v>7</v>
      </c>
      <c r="CZ427" s="266">
        <v>0.00019</v>
      </c>
    </row>
    <row r="428" spans="1:104" ht="12.75">
      <c r="A428" s="218">
        <v>102</v>
      </c>
      <c r="B428" s="219" t="s">
        <v>1392</v>
      </c>
      <c r="C428" s="220" t="s">
        <v>1393</v>
      </c>
      <c r="D428" s="221" t="s">
        <v>181</v>
      </c>
      <c r="E428" s="222">
        <v>1</v>
      </c>
      <c r="F428" s="222"/>
      <c r="G428" s="223">
        <f>E428*F428</f>
        <v>0</v>
      </c>
      <c r="O428" s="268">
        <v>2</v>
      </c>
      <c r="AA428" s="266">
        <v>1</v>
      </c>
      <c r="AB428" s="266">
        <v>7</v>
      </c>
      <c r="AC428" s="266">
        <v>7</v>
      </c>
      <c r="AZ428" s="266">
        <v>2</v>
      </c>
      <c r="BA428" s="266">
        <f>IF(AZ428=1,G428,0)</f>
        <v>0</v>
      </c>
      <c r="BB428" s="266">
        <f>IF(AZ428=2,G428,0)</f>
        <v>0</v>
      </c>
      <c r="BC428" s="266">
        <f>IF(AZ428=3,G428,0)</f>
        <v>0</v>
      </c>
      <c r="BD428" s="266">
        <f>IF(AZ428=4,G428,0)</f>
        <v>0</v>
      </c>
      <c r="BE428" s="266">
        <f>IF(AZ428=5,G428,0)</f>
        <v>0</v>
      </c>
      <c r="CA428" s="268">
        <v>1</v>
      </c>
      <c r="CB428" s="268">
        <v>7</v>
      </c>
      <c r="CZ428" s="266">
        <v>0</v>
      </c>
    </row>
    <row r="429" spans="1:15" ht="12.75">
      <c r="A429" s="226"/>
      <c r="B429" s="227"/>
      <c r="C429" s="1588" t="s">
        <v>1394</v>
      </c>
      <c r="D429" s="1589"/>
      <c r="E429" s="228">
        <v>1</v>
      </c>
      <c r="F429" s="229"/>
      <c r="G429" s="230"/>
      <c r="M429" s="234" t="s">
        <v>1394</v>
      </c>
      <c r="O429" s="268"/>
    </row>
    <row r="430" spans="1:104" ht="12.75">
      <c r="A430" s="218">
        <v>103</v>
      </c>
      <c r="B430" s="219" t="s">
        <v>1395</v>
      </c>
      <c r="C430" s="220" t="s">
        <v>1396</v>
      </c>
      <c r="D430" s="221" t="s">
        <v>181</v>
      </c>
      <c r="E430" s="222">
        <v>2</v>
      </c>
      <c r="F430" s="222"/>
      <c r="G430" s="223">
        <f>E430*F430</f>
        <v>0</v>
      </c>
      <c r="O430" s="268">
        <v>2</v>
      </c>
      <c r="AA430" s="266">
        <v>1</v>
      </c>
      <c r="AB430" s="266">
        <v>7</v>
      </c>
      <c r="AC430" s="266">
        <v>7</v>
      </c>
      <c r="AZ430" s="266">
        <v>2</v>
      </c>
      <c r="BA430" s="266">
        <f>IF(AZ430=1,G430,0)</f>
        <v>0</v>
      </c>
      <c r="BB430" s="266">
        <f>IF(AZ430=2,G430,0)</f>
        <v>0</v>
      </c>
      <c r="BC430" s="266">
        <f>IF(AZ430=3,G430,0)</f>
        <v>0</v>
      </c>
      <c r="BD430" s="266">
        <f>IF(AZ430=4,G430,0)</f>
        <v>0</v>
      </c>
      <c r="BE430" s="266">
        <f>IF(AZ430=5,G430,0)</f>
        <v>0</v>
      </c>
      <c r="CA430" s="268">
        <v>1</v>
      </c>
      <c r="CB430" s="268">
        <v>7</v>
      </c>
      <c r="CZ430" s="266">
        <v>0</v>
      </c>
    </row>
    <row r="431" spans="1:15" ht="12.75">
      <c r="A431" s="226"/>
      <c r="B431" s="227"/>
      <c r="C431" s="1588" t="s">
        <v>1397</v>
      </c>
      <c r="D431" s="1589"/>
      <c r="E431" s="228">
        <v>2</v>
      </c>
      <c r="F431" s="229"/>
      <c r="G431" s="230"/>
      <c r="M431" s="234" t="s">
        <v>1397</v>
      </c>
      <c r="O431" s="268"/>
    </row>
    <row r="432" spans="1:104" ht="12.75">
      <c r="A432" s="218">
        <v>104</v>
      </c>
      <c r="B432" s="219" t="s">
        <v>1398</v>
      </c>
      <c r="C432" s="220" t="s">
        <v>1399</v>
      </c>
      <c r="D432" s="221" t="s">
        <v>181</v>
      </c>
      <c r="E432" s="222">
        <v>2</v>
      </c>
      <c r="F432" s="222"/>
      <c r="G432" s="223">
        <f>E432*F432</f>
        <v>0</v>
      </c>
      <c r="O432" s="268">
        <v>2</v>
      </c>
      <c r="AA432" s="266">
        <v>1</v>
      </c>
      <c r="AB432" s="266">
        <v>7</v>
      </c>
      <c r="AC432" s="266">
        <v>7</v>
      </c>
      <c r="AZ432" s="266">
        <v>2</v>
      </c>
      <c r="BA432" s="266">
        <f>IF(AZ432=1,G432,0)</f>
        <v>0</v>
      </c>
      <c r="BB432" s="266">
        <f>IF(AZ432=2,G432,0)</f>
        <v>0</v>
      </c>
      <c r="BC432" s="266">
        <f>IF(AZ432=3,G432,0)</f>
        <v>0</v>
      </c>
      <c r="BD432" s="266">
        <f>IF(AZ432=4,G432,0)</f>
        <v>0</v>
      </c>
      <c r="BE432" s="266">
        <f>IF(AZ432=5,G432,0)</f>
        <v>0</v>
      </c>
      <c r="CA432" s="268">
        <v>1</v>
      </c>
      <c r="CB432" s="268">
        <v>7</v>
      </c>
      <c r="CZ432" s="266">
        <v>0</v>
      </c>
    </row>
    <row r="433" spans="1:15" ht="12.75">
      <c r="A433" s="226"/>
      <c r="B433" s="227"/>
      <c r="C433" s="1588" t="s">
        <v>1400</v>
      </c>
      <c r="D433" s="1589"/>
      <c r="E433" s="228">
        <v>2</v>
      </c>
      <c r="F433" s="229"/>
      <c r="G433" s="230"/>
      <c r="M433" s="234" t="s">
        <v>1400</v>
      </c>
      <c r="O433" s="268"/>
    </row>
    <row r="434" spans="1:104" ht="12.75">
      <c r="A434" s="218">
        <v>105</v>
      </c>
      <c r="B434" s="219" t="s">
        <v>903</v>
      </c>
      <c r="C434" s="220" t="s">
        <v>904</v>
      </c>
      <c r="D434" s="221" t="s">
        <v>231</v>
      </c>
      <c r="E434" s="222">
        <v>1.415</v>
      </c>
      <c r="F434" s="222"/>
      <c r="G434" s="223">
        <f>E434*F434</f>
        <v>0</v>
      </c>
      <c r="O434" s="268">
        <v>2</v>
      </c>
      <c r="AA434" s="266">
        <v>3</v>
      </c>
      <c r="AB434" s="266">
        <v>7</v>
      </c>
      <c r="AC434" s="266">
        <v>60780011</v>
      </c>
      <c r="AZ434" s="266">
        <v>2</v>
      </c>
      <c r="BA434" s="266">
        <f>IF(AZ434=1,G434,0)</f>
        <v>0</v>
      </c>
      <c r="BB434" s="266">
        <f>IF(AZ434=2,G434,0)</f>
        <v>0</v>
      </c>
      <c r="BC434" s="266">
        <f>IF(AZ434=3,G434,0)</f>
        <v>0</v>
      </c>
      <c r="BD434" s="266">
        <f>IF(AZ434=4,G434,0)</f>
        <v>0</v>
      </c>
      <c r="BE434" s="266">
        <f>IF(AZ434=5,G434,0)</f>
        <v>0</v>
      </c>
      <c r="CA434" s="268">
        <v>3</v>
      </c>
      <c r="CB434" s="268">
        <v>7</v>
      </c>
      <c r="CZ434" s="266">
        <v>0.00243</v>
      </c>
    </row>
    <row r="435" spans="1:15" ht="12.75">
      <c r="A435" s="226"/>
      <c r="B435" s="227"/>
      <c r="C435" s="1588" t="s">
        <v>1401</v>
      </c>
      <c r="D435" s="1589"/>
      <c r="E435" s="228">
        <v>6.765</v>
      </c>
      <c r="F435" s="229"/>
      <c r="G435" s="230"/>
      <c r="M435" s="234" t="s">
        <v>1401</v>
      </c>
      <c r="O435" s="268"/>
    </row>
    <row r="436" spans="1:15" ht="12.75">
      <c r="A436" s="226"/>
      <c r="B436" s="227"/>
      <c r="C436" s="1588" t="s">
        <v>1402</v>
      </c>
      <c r="D436" s="1589"/>
      <c r="E436" s="228">
        <v>-5.35</v>
      </c>
      <c r="F436" s="229"/>
      <c r="G436" s="230"/>
      <c r="M436" s="234" t="s">
        <v>1402</v>
      </c>
      <c r="O436" s="268"/>
    </row>
    <row r="437" spans="1:104" ht="12.75">
      <c r="A437" s="218">
        <v>106</v>
      </c>
      <c r="B437" s="219" t="s">
        <v>907</v>
      </c>
      <c r="C437" s="220" t="s">
        <v>908</v>
      </c>
      <c r="D437" s="221" t="s">
        <v>9</v>
      </c>
      <c r="E437" s="222"/>
      <c r="F437" s="222"/>
      <c r="G437" s="223">
        <f>E437*F437</f>
        <v>0</v>
      </c>
      <c r="O437" s="268">
        <v>2</v>
      </c>
      <c r="AA437" s="266">
        <v>7</v>
      </c>
      <c r="AB437" s="266">
        <v>1002</v>
      </c>
      <c r="AC437" s="266">
        <v>5</v>
      </c>
      <c r="AZ437" s="266">
        <v>2</v>
      </c>
      <c r="BA437" s="266">
        <f>IF(AZ437=1,G437,0)</f>
        <v>0</v>
      </c>
      <c r="BB437" s="266">
        <f>IF(AZ437=2,G437,0)</f>
        <v>0</v>
      </c>
      <c r="BC437" s="266">
        <f>IF(AZ437=3,G437,0)</f>
        <v>0</v>
      </c>
      <c r="BD437" s="266">
        <f>IF(AZ437=4,G437,0)</f>
        <v>0</v>
      </c>
      <c r="BE437" s="266">
        <f>IF(AZ437=5,G437,0)</f>
        <v>0</v>
      </c>
      <c r="CA437" s="268">
        <v>7</v>
      </c>
      <c r="CB437" s="268">
        <v>1002</v>
      </c>
      <c r="CZ437" s="266">
        <v>0</v>
      </c>
    </row>
    <row r="438" spans="1:57" ht="12.75">
      <c r="A438" s="236"/>
      <c r="B438" s="237" t="s">
        <v>175</v>
      </c>
      <c r="C438" s="238" t="str">
        <f>CONCATENATE(B404," ",C404)</f>
        <v>766 Konstrukce truhlářské</v>
      </c>
      <c r="D438" s="239"/>
      <c r="E438" s="240"/>
      <c r="F438" s="241"/>
      <c r="G438" s="242">
        <f>SUM(G404:G437)</f>
        <v>0</v>
      </c>
      <c r="O438" s="268">
        <v>4</v>
      </c>
      <c r="BA438" s="269">
        <f>SUM(BA404:BA437)</f>
        <v>0</v>
      </c>
      <c r="BB438" s="269">
        <f>SUM(BB404:BB437)</f>
        <v>0</v>
      </c>
      <c r="BC438" s="269">
        <f>SUM(BC404:BC437)</f>
        <v>0</v>
      </c>
      <c r="BD438" s="269">
        <f>SUM(BD404:BD437)</f>
        <v>0</v>
      </c>
      <c r="BE438" s="269">
        <f>SUM(BE404:BE437)</f>
        <v>0</v>
      </c>
    </row>
    <row r="439" spans="1:15" ht="12.75">
      <c r="A439" s="207" t="s">
        <v>140</v>
      </c>
      <c r="B439" s="208" t="s">
        <v>255</v>
      </c>
      <c r="C439" s="209" t="s">
        <v>256</v>
      </c>
      <c r="D439" s="210"/>
      <c r="E439" s="211"/>
      <c r="F439" s="211"/>
      <c r="G439" s="212"/>
      <c r="H439" s="267"/>
      <c r="I439" s="267"/>
      <c r="O439" s="268">
        <v>1</v>
      </c>
    </row>
    <row r="440" spans="1:104" ht="12.75">
      <c r="A440" s="218">
        <v>107</v>
      </c>
      <c r="B440" s="219" t="s">
        <v>1403</v>
      </c>
      <c r="C440" s="220" t="s">
        <v>1404</v>
      </c>
      <c r="D440" s="221" t="s">
        <v>196</v>
      </c>
      <c r="E440" s="222">
        <v>4</v>
      </c>
      <c r="F440" s="222"/>
      <c r="G440" s="223">
        <f>E440*F440</f>
        <v>0</v>
      </c>
      <c r="O440" s="268">
        <v>2</v>
      </c>
      <c r="AA440" s="266">
        <v>1</v>
      </c>
      <c r="AB440" s="266">
        <v>7</v>
      </c>
      <c r="AC440" s="266">
        <v>7</v>
      </c>
      <c r="AZ440" s="266">
        <v>2</v>
      </c>
      <c r="BA440" s="266">
        <f>IF(AZ440=1,G440,0)</f>
        <v>0</v>
      </c>
      <c r="BB440" s="266">
        <f>IF(AZ440=2,G440,0)</f>
        <v>0</v>
      </c>
      <c r="BC440" s="266">
        <f>IF(AZ440=3,G440,0)</f>
        <v>0</v>
      </c>
      <c r="BD440" s="266">
        <f>IF(AZ440=4,G440,0)</f>
        <v>0</v>
      </c>
      <c r="BE440" s="266">
        <f>IF(AZ440=5,G440,0)</f>
        <v>0</v>
      </c>
      <c r="CA440" s="268">
        <v>1</v>
      </c>
      <c r="CB440" s="268">
        <v>7</v>
      </c>
      <c r="CZ440" s="266">
        <v>0</v>
      </c>
    </row>
    <row r="441" spans="1:104" ht="12.75">
      <c r="A441" s="218">
        <v>108</v>
      </c>
      <c r="B441" s="219" t="s">
        <v>263</v>
      </c>
      <c r="C441" s="220" t="s">
        <v>1405</v>
      </c>
      <c r="D441" s="221" t="s">
        <v>9</v>
      </c>
      <c r="E441" s="222"/>
      <c r="F441" s="222"/>
      <c r="G441" s="223">
        <f>E441*F441</f>
        <v>0</v>
      </c>
      <c r="O441" s="268">
        <v>2</v>
      </c>
      <c r="AA441" s="266">
        <v>7</v>
      </c>
      <c r="AB441" s="266">
        <v>1002</v>
      </c>
      <c r="AC441" s="266">
        <v>5</v>
      </c>
      <c r="AZ441" s="266">
        <v>2</v>
      </c>
      <c r="BA441" s="266">
        <f>IF(AZ441=1,G441,0)</f>
        <v>0</v>
      </c>
      <c r="BB441" s="266">
        <f>IF(AZ441=2,G441,0)</f>
        <v>0</v>
      </c>
      <c r="BC441" s="266">
        <f>IF(AZ441=3,G441,0)</f>
        <v>0</v>
      </c>
      <c r="BD441" s="266">
        <f>IF(AZ441=4,G441,0)</f>
        <v>0</v>
      </c>
      <c r="BE441" s="266">
        <f>IF(AZ441=5,G441,0)</f>
        <v>0</v>
      </c>
      <c r="CA441" s="268">
        <v>7</v>
      </c>
      <c r="CB441" s="268">
        <v>1002</v>
      </c>
      <c r="CZ441" s="266">
        <v>0</v>
      </c>
    </row>
    <row r="442" spans="1:57" ht="12.75">
      <c r="A442" s="236"/>
      <c r="B442" s="237" t="s">
        <v>175</v>
      </c>
      <c r="C442" s="238" t="str">
        <f>CONCATENATE(B439," ",C439)</f>
        <v>767 Konstrukce zámečnické</v>
      </c>
      <c r="D442" s="239"/>
      <c r="E442" s="240"/>
      <c r="F442" s="241"/>
      <c r="G442" s="242">
        <f>SUM(G439:G441)</f>
        <v>0</v>
      </c>
      <c r="O442" s="268">
        <v>4</v>
      </c>
      <c r="BA442" s="269">
        <f>SUM(BA439:BA441)</f>
        <v>0</v>
      </c>
      <c r="BB442" s="269">
        <f>SUM(BB439:BB441)</f>
        <v>0</v>
      </c>
      <c r="BC442" s="269">
        <f>SUM(BC439:BC441)</f>
        <v>0</v>
      </c>
      <c r="BD442" s="269">
        <f>SUM(BD439:BD441)</f>
        <v>0</v>
      </c>
      <c r="BE442" s="269">
        <f>SUM(BE439:BE441)</f>
        <v>0</v>
      </c>
    </row>
    <row r="443" spans="1:15" ht="12.75">
      <c r="A443" s="207" t="s">
        <v>140</v>
      </c>
      <c r="B443" s="208" t="s">
        <v>928</v>
      </c>
      <c r="C443" s="209" t="s">
        <v>929</v>
      </c>
      <c r="D443" s="210"/>
      <c r="E443" s="211"/>
      <c r="F443" s="211"/>
      <c r="G443" s="212"/>
      <c r="H443" s="267"/>
      <c r="I443" s="267"/>
      <c r="O443" s="268">
        <v>1</v>
      </c>
    </row>
    <row r="444" spans="1:104" ht="12.75">
      <c r="A444" s="218">
        <v>109</v>
      </c>
      <c r="B444" s="219" t="s">
        <v>930</v>
      </c>
      <c r="C444" s="220" t="s">
        <v>931</v>
      </c>
      <c r="D444" s="221" t="s">
        <v>231</v>
      </c>
      <c r="E444" s="222">
        <v>5</v>
      </c>
      <c r="F444" s="222"/>
      <c r="G444" s="223">
        <f>E444*F444</f>
        <v>0</v>
      </c>
      <c r="O444" s="268">
        <v>2</v>
      </c>
      <c r="AA444" s="266">
        <v>1</v>
      </c>
      <c r="AB444" s="266">
        <v>0</v>
      </c>
      <c r="AC444" s="266">
        <v>0</v>
      </c>
      <c r="AZ444" s="266">
        <v>2</v>
      </c>
      <c r="BA444" s="266">
        <f>IF(AZ444=1,G444,0)</f>
        <v>0</v>
      </c>
      <c r="BB444" s="266">
        <f>IF(AZ444=2,G444,0)</f>
        <v>0</v>
      </c>
      <c r="BC444" s="266">
        <f>IF(AZ444=3,G444,0)</f>
        <v>0</v>
      </c>
      <c r="BD444" s="266">
        <f>IF(AZ444=4,G444,0)</f>
        <v>0</v>
      </c>
      <c r="BE444" s="266">
        <f>IF(AZ444=5,G444,0)</f>
        <v>0</v>
      </c>
      <c r="CA444" s="268">
        <v>1</v>
      </c>
      <c r="CB444" s="268">
        <v>0</v>
      </c>
      <c r="CZ444" s="266">
        <v>5E-05</v>
      </c>
    </row>
    <row r="445" spans="1:15" ht="12.75">
      <c r="A445" s="226"/>
      <c r="B445" s="227"/>
      <c r="C445" s="1588" t="s">
        <v>1406</v>
      </c>
      <c r="D445" s="1589"/>
      <c r="E445" s="228">
        <v>6.4</v>
      </c>
      <c r="F445" s="229"/>
      <c r="G445" s="230"/>
      <c r="M445" s="234" t="s">
        <v>1406</v>
      </c>
      <c r="O445" s="268"/>
    </row>
    <row r="446" spans="1:15" ht="12.75">
      <c r="A446" s="226"/>
      <c r="B446" s="227"/>
      <c r="C446" s="1588" t="s">
        <v>1407</v>
      </c>
      <c r="D446" s="1589"/>
      <c r="E446" s="228">
        <v>8.3</v>
      </c>
      <c r="F446" s="229"/>
      <c r="G446" s="230"/>
      <c r="M446" s="234" t="s">
        <v>1407</v>
      </c>
      <c r="O446" s="268"/>
    </row>
    <row r="447" spans="1:15" ht="12.75">
      <c r="A447" s="226"/>
      <c r="B447" s="227"/>
      <c r="C447" s="1588" t="s">
        <v>1408</v>
      </c>
      <c r="D447" s="1589"/>
      <c r="E447" s="228">
        <v>10.8</v>
      </c>
      <c r="F447" s="229"/>
      <c r="G447" s="230"/>
      <c r="M447" s="234" t="s">
        <v>1408</v>
      </c>
      <c r="O447" s="268"/>
    </row>
    <row r="448" spans="1:15" ht="12.75">
      <c r="A448" s="226"/>
      <c r="B448" s="227"/>
      <c r="C448" s="1588" t="s">
        <v>1409</v>
      </c>
      <c r="D448" s="1589"/>
      <c r="E448" s="228">
        <v>-20.5</v>
      </c>
      <c r="F448" s="229"/>
      <c r="G448" s="230"/>
      <c r="M448" s="234" t="s">
        <v>1409</v>
      </c>
      <c r="O448" s="268"/>
    </row>
    <row r="449" spans="1:104" ht="12.75">
      <c r="A449" s="218">
        <v>110</v>
      </c>
      <c r="B449" s="219" t="s">
        <v>935</v>
      </c>
      <c r="C449" s="220" t="s">
        <v>936</v>
      </c>
      <c r="D449" s="221" t="s">
        <v>231</v>
      </c>
      <c r="E449" s="222">
        <v>0.4</v>
      </c>
      <c r="F449" s="222"/>
      <c r="G449" s="223">
        <f>E449*F449</f>
        <v>0</v>
      </c>
      <c r="O449" s="268">
        <v>2</v>
      </c>
      <c r="AA449" s="266">
        <v>1</v>
      </c>
      <c r="AB449" s="266">
        <v>0</v>
      </c>
      <c r="AC449" s="266">
        <v>0</v>
      </c>
      <c r="AZ449" s="266">
        <v>2</v>
      </c>
      <c r="BA449" s="266">
        <f>IF(AZ449=1,G449,0)</f>
        <v>0</v>
      </c>
      <c r="BB449" s="266">
        <f>IF(AZ449=2,G449,0)</f>
        <v>0</v>
      </c>
      <c r="BC449" s="266">
        <f>IF(AZ449=3,G449,0)</f>
        <v>0</v>
      </c>
      <c r="BD449" s="266">
        <f>IF(AZ449=4,G449,0)</f>
        <v>0</v>
      </c>
      <c r="BE449" s="266">
        <f>IF(AZ449=5,G449,0)</f>
        <v>0</v>
      </c>
      <c r="CA449" s="268">
        <v>1</v>
      </c>
      <c r="CB449" s="268">
        <v>0</v>
      </c>
      <c r="CZ449" s="266">
        <v>8E-05</v>
      </c>
    </row>
    <row r="450" spans="1:15" ht="12.75">
      <c r="A450" s="226"/>
      <c r="B450" s="227"/>
      <c r="C450" s="1588" t="s">
        <v>1410</v>
      </c>
      <c r="D450" s="1589"/>
      <c r="E450" s="228">
        <v>5.2</v>
      </c>
      <c r="F450" s="229"/>
      <c r="G450" s="230"/>
      <c r="M450" s="234" t="s">
        <v>1410</v>
      </c>
      <c r="O450" s="268"/>
    </row>
    <row r="451" spans="1:15" ht="12.75">
      <c r="A451" s="226"/>
      <c r="B451" s="227"/>
      <c r="C451" s="1588" t="s">
        <v>1411</v>
      </c>
      <c r="D451" s="1589"/>
      <c r="E451" s="228">
        <v>10.2</v>
      </c>
      <c r="F451" s="229"/>
      <c r="G451" s="230"/>
      <c r="M451" s="234" t="s">
        <v>1411</v>
      </c>
      <c r="O451" s="268"/>
    </row>
    <row r="452" spans="1:15" ht="12.75">
      <c r="A452" s="226"/>
      <c r="B452" s="227"/>
      <c r="C452" s="1588" t="s">
        <v>1412</v>
      </c>
      <c r="D452" s="1589"/>
      <c r="E452" s="228">
        <v>5.1</v>
      </c>
      <c r="F452" s="229"/>
      <c r="G452" s="230"/>
      <c r="M452" s="234" t="s">
        <v>1412</v>
      </c>
      <c r="O452" s="268"/>
    </row>
    <row r="453" spans="1:15" ht="12.75">
      <c r="A453" s="226"/>
      <c r="B453" s="227"/>
      <c r="C453" s="1588" t="s">
        <v>1413</v>
      </c>
      <c r="D453" s="1589"/>
      <c r="E453" s="228">
        <v>5.1</v>
      </c>
      <c r="F453" s="229"/>
      <c r="G453" s="230"/>
      <c r="M453" s="234" t="s">
        <v>1413</v>
      </c>
      <c r="O453" s="268"/>
    </row>
    <row r="454" spans="1:15" ht="12.75">
      <c r="A454" s="226"/>
      <c r="B454" s="227"/>
      <c r="C454" s="1588" t="s">
        <v>1414</v>
      </c>
      <c r="D454" s="1589"/>
      <c r="E454" s="228">
        <v>-25.2</v>
      </c>
      <c r="F454" s="229"/>
      <c r="G454" s="230"/>
      <c r="M454" s="234" t="s">
        <v>1414</v>
      </c>
      <c r="O454" s="268"/>
    </row>
    <row r="455" spans="1:104" ht="12.75">
      <c r="A455" s="218">
        <v>111</v>
      </c>
      <c r="B455" s="219" t="s">
        <v>1415</v>
      </c>
      <c r="C455" s="220" t="s">
        <v>1416</v>
      </c>
      <c r="D455" s="221" t="s">
        <v>196</v>
      </c>
      <c r="E455" s="222">
        <v>4</v>
      </c>
      <c r="F455" s="222"/>
      <c r="G455" s="223">
        <f>E455*F455</f>
        <v>0</v>
      </c>
      <c r="O455" s="268">
        <v>2</v>
      </c>
      <c r="AA455" s="266">
        <v>3</v>
      </c>
      <c r="AB455" s="266">
        <v>7</v>
      </c>
      <c r="AC455" s="266">
        <v>55340754</v>
      </c>
      <c r="AZ455" s="266">
        <v>2</v>
      </c>
      <c r="BA455" s="266">
        <f>IF(AZ455=1,G455,0)</f>
        <v>0</v>
      </c>
      <c r="BB455" s="266">
        <f>IF(AZ455=2,G455,0)</f>
        <v>0</v>
      </c>
      <c r="BC455" s="266">
        <f>IF(AZ455=3,G455,0)</f>
        <v>0</v>
      </c>
      <c r="BD455" s="266">
        <f>IF(AZ455=4,G455,0)</f>
        <v>0</v>
      </c>
      <c r="BE455" s="266">
        <f>IF(AZ455=5,G455,0)</f>
        <v>0</v>
      </c>
      <c r="CA455" s="268">
        <v>3</v>
      </c>
      <c r="CB455" s="268">
        <v>7</v>
      </c>
      <c r="CZ455" s="266">
        <v>0.0456</v>
      </c>
    </row>
    <row r="456" spans="1:15" ht="12.75">
      <c r="A456" s="226"/>
      <c r="B456" s="227"/>
      <c r="C456" s="1588" t="s">
        <v>1417</v>
      </c>
      <c r="D456" s="1589"/>
      <c r="E456" s="228">
        <v>2</v>
      </c>
      <c r="F456" s="229"/>
      <c r="G456" s="230"/>
      <c r="M456" s="234" t="s">
        <v>1417</v>
      </c>
      <c r="O456" s="268"/>
    </row>
    <row r="457" spans="1:15" ht="12.75">
      <c r="A457" s="226"/>
      <c r="B457" s="227"/>
      <c r="C457" s="1588" t="s">
        <v>1418</v>
      </c>
      <c r="D457" s="1589"/>
      <c r="E457" s="228">
        <v>1</v>
      </c>
      <c r="F457" s="229"/>
      <c r="G457" s="230"/>
      <c r="M457" s="234" t="s">
        <v>1418</v>
      </c>
      <c r="O457" s="268"/>
    </row>
    <row r="458" spans="1:15" ht="12.75">
      <c r="A458" s="226"/>
      <c r="B458" s="227"/>
      <c r="C458" s="1588" t="s">
        <v>1419</v>
      </c>
      <c r="D458" s="1589"/>
      <c r="E458" s="228">
        <v>1</v>
      </c>
      <c r="F458" s="229"/>
      <c r="G458" s="230"/>
      <c r="M458" s="234" t="s">
        <v>1419</v>
      </c>
      <c r="O458" s="268"/>
    </row>
    <row r="459" spans="1:104" ht="12.75">
      <c r="A459" s="218">
        <v>112</v>
      </c>
      <c r="B459" s="219" t="s">
        <v>1420</v>
      </c>
      <c r="C459" s="220" t="s">
        <v>1421</v>
      </c>
      <c r="D459" s="221" t="s">
        <v>196</v>
      </c>
      <c r="E459" s="222">
        <v>1</v>
      </c>
      <c r="F459" s="222"/>
      <c r="G459" s="223">
        <f>E459*F459</f>
        <v>0</v>
      </c>
      <c r="O459" s="268">
        <v>2</v>
      </c>
      <c r="AA459" s="266">
        <v>3</v>
      </c>
      <c r="AB459" s="266">
        <v>1</v>
      </c>
      <c r="AC459" s="266">
        <v>55340755</v>
      </c>
      <c r="AZ459" s="266">
        <v>2</v>
      </c>
      <c r="BA459" s="266">
        <f>IF(AZ459=1,G459,0)</f>
        <v>0</v>
      </c>
      <c r="BB459" s="266">
        <f>IF(AZ459=2,G459,0)</f>
        <v>0</v>
      </c>
      <c r="BC459" s="266">
        <f>IF(AZ459=3,G459,0)</f>
        <v>0</v>
      </c>
      <c r="BD459" s="266">
        <f>IF(AZ459=4,G459,0)</f>
        <v>0</v>
      </c>
      <c r="BE459" s="266">
        <f>IF(AZ459=5,G459,0)</f>
        <v>0</v>
      </c>
      <c r="CA459" s="268">
        <v>3</v>
      </c>
      <c r="CB459" s="268">
        <v>1</v>
      </c>
      <c r="CZ459" s="266">
        <v>0.0515</v>
      </c>
    </row>
    <row r="460" spans="1:15" ht="12.75">
      <c r="A460" s="226"/>
      <c r="B460" s="227"/>
      <c r="C460" s="1588" t="s">
        <v>1422</v>
      </c>
      <c r="D460" s="1589"/>
      <c r="E460" s="228">
        <v>1</v>
      </c>
      <c r="F460" s="229"/>
      <c r="G460" s="230"/>
      <c r="M460" s="234" t="s">
        <v>1422</v>
      </c>
      <c r="O460" s="268"/>
    </row>
    <row r="461" spans="1:104" ht="12.75">
      <c r="A461" s="218">
        <v>113</v>
      </c>
      <c r="B461" s="219" t="s">
        <v>942</v>
      </c>
      <c r="C461" s="220" t="s">
        <v>943</v>
      </c>
      <c r="D461" s="221" t="s">
        <v>757</v>
      </c>
      <c r="E461" s="222">
        <v>3</v>
      </c>
      <c r="F461" s="222"/>
      <c r="G461" s="223">
        <f>E461*F461</f>
        <v>0</v>
      </c>
      <c r="O461" s="268">
        <v>2</v>
      </c>
      <c r="AA461" s="266">
        <v>3</v>
      </c>
      <c r="AB461" s="266">
        <v>7</v>
      </c>
      <c r="AC461" s="266">
        <v>611101115</v>
      </c>
      <c r="AZ461" s="266">
        <v>2</v>
      </c>
      <c r="BA461" s="266">
        <f>IF(AZ461=1,G461,0)</f>
        <v>0</v>
      </c>
      <c r="BB461" s="266">
        <f>IF(AZ461=2,G461,0)</f>
        <v>0</v>
      </c>
      <c r="BC461" s="266">
        <f>IF(AZ461=3,G461,0)</f>
        <v>0</v>
      </c>
      <c r="BD461" s="266">
        <f>IF(AZ461=4,G461,0)</f>
        <v>0</v>
      </c>
      <c r="BE461" s="266">
        <f>IF(AZ461=5,G461,0)</f>
        <v>0</v>
      </c>
      <c r="CA461" s="268">
        <v>3</v>
      </c>
      <c r="CB461" s="268">
        <v>7</v>
      </c>
      <c r="CZ461" s="266">
        <v>0</v>
      </c>
    </row>
    <row r="462" spans="1:15" ht="12.75">
      <c r="A462" s="226"/>
      <c r="B462" s="227"/>
      <c r="C462" s="1588" t="s">
        <v>944</v>
      </c>
      <c r="D462" s="1589"/>
      <c r="E462" s="228">
        <v>1</v>
      </c>
      <c r="F462" s="229"/>
      <c r="G462" s="230"/>
      <c r="M462" s="234" t="s">
        <v>944</v>
      </c>
      <c r="O462" s="268"/>
    </row>
    <row r="463" spans="1:15" ht="12.75">
      <c r="A463" s="226"/>
      <c r="B463" s="227"/>
      <c r="C463" s="1588" t="s">
        <v>733</v>
      </c>
      <c r="D463" s="1589"/>
      <c r="E463" s="228">
        <v>1</v>
      </c>
      <c r="F463" s="229"/>
      <c r="G463" s="230"/>
      <c r="M463" s="234" t="s">
        <v>733</v>
      </c>
      <c r="O463" s="268"/>
    </row>
    <row r="464" spans="1:15" ht="12.75">
      <c r="A464" s="226"/>
      <c r="B464" s="227"/>
      <c r="C464" s="1588" t="s">
        <v>734</v>
      </c>
      <c r="D464" s="1589"/>
      <c r="E464" s="228">
        <v>1</v>
      </c>
      <c r="F464" s="229"/>
      <c r="G464" s="230"/>
      <c r="M464" s="234" t="s">
        <v>734</v>
      </c>
      <c r="O464" s="268"/>
    </row>
    <row r="465" spans="1:104" ht="12.75">
      <c r="A465" s="218">
        <v>114</v>
      </c>
      <c r="B465" s="219" t="s">
        <v>945</v>
      </c>
      <c r="C465" s="220" t="s">
        <v>946</v>
      </c>
      <c r="D465" s="221" t="s">
        <v>757</v>
      </c>
      <c r="E465" s="222">
        <v>2</v>
      </c>
      <c r="F465" s="222"/>
      <c r="G465" s="223">
        <f>E465*F465</f>
        <v>0</v>
      </c>
      <c r="O465" s="268">
        <v>2</v>
      </c>
      <c r="AA465" s="266">
        <v>3</v>
      </c>
      <c r="AB465" s="266">
        <v>7</v>
      </c>
      <c r="AC465" s="266">
        <v>61110116</v>
      </c>
      <c r="AZ465" s="266">
        <v>2</v>
      </c>
      <c r="BA465" s="266">
        <f>IF(AZ465=1,G465,0)</f>
        <v>0</v>
      </c>
      <c r="BB465" s="266">
        <f>IF(AZ465=2,G465,0)</f>
        <v>0</v>
      </c>
      <c r="BC465" s="266">
        <f>IF(AZ465=3,G465,0)</f>
        <v>0</v>
      </c>
      <c r="BD465" s="266">
        <f>IF(AZ465=4,G465,0)</f>
        <v>0</v>
      </c>
      <c r="BE465" s="266">
        <f>IF(AZ465=5,G465,0)</f>
        <v>0</v>
      </c>
      <c r="CA465" s="268">
        <v>3</v>
      </c>
      <c r="CB465" s="268">
        <v>7</v>
      </c>
      <c r="CZ465" s="266">
        <v>0</v>
      </c>
    </row>
    <row r="466" spans="1:15" ht="12.75">
      <c r="A466" s="226"/>
      <c r="B466" s="227"/>
      <c r="C466" s="1588" t="s">
        <v>947</v>
      </c>
      <c r="D466" s="1589"/>
      <c r="E466" s="228">
        <v>1</v>
      </c>
      <c r="F466" s="229"/>
      <c r="G466" s="230"/>
      <c r="M466" s="234" t="s">
        <v>947</v>
      </c>
      <c r="O466" s="268"/>
    </row>
    <row r="467" spans="1:15" ht="12.75">
      <c r="A467" s="226"/>
      <c r="B467" s="227"/>
      <c r="C467" s="1588" t="s">
        <v>735</v>
      </c>
      <c r="D467" s="1589"/>
      <c r="E467" s="228">
        <v>1</v>
      </c>
      <c r="F467" s="229"/>
      <c r="G467" s="230"/>
      <c r="M467" s="234" t="s">
        <v>735</v>
      </c>
      <c r="O467" s="268"/>
    </row>
    <row r="468" spans="1:104" ht="12.75">
      <c r="A468" s="218">
        <v>115</v>
      </c>
      <c r="B468" s="219" t="s">
        <v>948</v>
      </c>
      <c r="C468" s="220" t="s">
        <v>1423</v>
      </c>
      <c r="D468" s="221" t="s">
        <v>145</v>
      </c>
      <c r="E468" s="222">
        <v>1.965</v>
      </c>
      <c r="F468" s="222"/>
      <c r="G468" s="223">
        <f>E468*F468</f>
        <v>0</v>
      </c>
      <c r="O468" s="268">
        <v>2</v>
      </c>
      <c r="AA468" s="266">
        <v>3</v>
      </c>
      <c r="AB468" s="266">
        <v>7</v>
      </c>
      <c r="AC468" s="266">
        <v>611101210</v>
      </c>
      <c r="AZ468" s="266">
        <v>2</v>
      </c>
      <c r="BA468" s="266">
        <f>IF(AZ468=1,G468,0)</f>
        <v>0</v>
      </c>
      <c r="BB468" s="266">
        <f>IF(AZ468=2,G468,0)</f>
        <v>0</v>
      </c>
      <c r="BC468" s="266">
        <f>IF(AZ468=3,G468,0)</f>
        <v>0</v>
      </c>
      <c r="BD468" s="266">
        <f>IF(AZ468=4,G468,0)</f>
        <v>0</v>
      </c>
      <c r="BE468" s="266">
        <f>IF(AZ468=5,G468,0)</f>
        <v>0</v>
      </c>
      <c r="CA468" s="268">
        <v>3</v>
      </c>
      <c r="CB468" s="268">
        <v>7</v>
      </c>
      <c r="CZ468" s="266">
        <v>0</v>
      </c>
    </row>
    <row r="469" spans="1:15" ht="12.75">
      <c r="A469" s="226"/>
      <c r="B469" s="227"/>
      <c r="C469" s="1588" t="s">
        <v>1424</v>
      </c>
      <c r="D469" s="1589"/>
      <c r="E469" s="228">
        <v>1.2</v>
      </c>
      <c r="F469" s="229"/>
      <c r="G469" s="230"/>
      <c r="M469" s="234" t="s">
        <v>1424</v>
      </c>
      <c r="O469" s="268"/>
    </row>
    <row r="470" spans="1:15" ht="12.75">
      <c r="A470" s="226"/>
      <c r="B470" s="227"/>
      <c r="C470" s="1588" t="s">
        <v>1425</v>
      </c>
      <c r="D470" s="1589"/>
      <c r="E470" s="228">
        <v>4.165</v>
      </c>
      <c r="F470" s="229"/>
      <c r="G470" s="230"/>
      <c r="M470" s="234" t="s">
        <v>1425</v>
      </c>
      <c r="O470" s="268"/>
    </row>
    <row r="471" spans="1:15" ht="12.75">
      <c r="A471" s="226"/>
      <c r="B471" s="227"/>
      <c r="C471" s="1588" t="s">
        <v>1426</v>
      </c>
      <c r="D471" s="1589"/>
      <c r="E471" s="228">
        <v>6.29</v>
      </c>
      <c r="F471" s="229"/>
      <c r="G471" s="230"/>
      <c r="M471" s="234" t="s">
        <v>1426</v>
      </c>
      <c r="O471" s="268"/>
    </row>
    <row r="472" spans="1:15" ht="12.75">
      <c r="A472" s="226"/>
      <c r="B472" s="227"/>
      <c r="C472" s="1588" t="s">
        <v>1427</v>
      </c>
      <c r="D472" s="1589"/>
      <c r="E472" s="228">
        <v>-9.69</v>
      </c>
      <c r="F472" s="229"/>
      <c r="G472" s="230"/>
      <c r="M472" s="234" t="s">
        <v>1427</v>
      </c>
      <c r="O472" s="268"/>
    </row>
    <row r="473" spans="1:104" ht="12.75">
      <c r="A473" s="218">
        <v>116</v>
      </c>
      <c r="B473" s="219" t="s">
        <v>951</v>
      </c>
      <c r="C473" s="220" t="s">
        <v>952</v>
      </c>
      <c r="D473" s="221" t="s">
        <v>145</v>
      </c>
      <c r="E473" s="222">
        <v>-1.2</v>
      </c>
      <c r="F473" s="222"/>
      <c r="G473" s="223">
        <f>E473*F473</f>
        <v>0</v>
      </c>
      <c r="O473" s="268">
        <v>2</v>
      </c>
      <c r="AA473" s="266">
        <v>3</v>
      </c>
      <c r="AB473" s="266">
        <v>7</v>
      </c>
      <c r="AC473" s="266">
        <v>611101211</v>
      </c>
      <c r="AZ473" s="266">
        <v>2</v>
      </c>
      <c r="BA473" s="266">
        <f>IF(AZ473=1,G473,0)</f>
        <v>0</v>
      </c>
      <c r="BB473" s="266">
        <f>IF(AZ473=2,G473,0)</f>
        <v>0</v>
      </c>
      <c r="BC473" s="266">
        <f>IF(AZ473=3,G473,0)</f>
        <v>0</v>
      </c>
      <c r="BD473" s="266">
        <f>IF(AZ473=4,G473,0)</f>
        <v>0</v>
      </c>
      <c r="BE473" s="266">
        <f>IF(AZ473=5,G473,0)</f>
        <v>0</v>
      </c>
      <c r="CA473" s="268">
        <v>3</v>
      </c>
      <c r="CB473" s="268">
        <v>7</v>
      </c>
      <c r="CZ473" s="266">
        <v>0</v>
      </c>
    </row>
    <row r="474" spans="1:15" ht="12.75">
      <c r="A474" s="226"/>
      <c r="B474" s="227"/>
      <c r="C474" s="1588" t="s">
        <v>1428</v>
      </c>
      <c r="D474" s="1589"/>
      <c r="E474" s="228">
        <v>-0.6</v>
      </c>
      <c r="F474" s="229"/>
      <c r="G474" s="230"/>
      <c r="M474" s="234" t="s">
        <v>1428</v>
      </c>
      <c r="O474" s="268"/>
    </row>
    <row r="475" spans="1:15" ht="12.75">
      <c r="A475" s="226"/>
      <c r="B475" s="227"/>
      <c r="C475" s="1588" t="s">
        <v>1429</v>
      </c>
      <c r="D475" s="1589"/>
      <c r="E475" s="228">
        <v>-0.6</v>
      </c>
      <c r="F475" s="229"/>
      <c r="G475" s="230"/>
      <c r="M475" s="234" t="s">
        <v>1429</v>
      </c>
      <c r="O475" s="268"/>
    </row>
    <row r="476" spans="1:57" ht="12.75">
      <c r="A476" s="236"/>
      <c r="B476" s="237" t="s">
        <v>175</v>
      </c>
      <c r="C476" s="238" t="str">
        <f>CONCATENATE(B443," ",C443)</f>
        <v>769 Otvorové prvky z plastu</v>
      </c>
      <c r="D476" s="239"/>
      <c r="E476" s="240"/>
      <c r="F476" s="241"/>
      <c r="G476" s="242">
        <f>SUM(G443:G475)</f>
        <v>0</v>
      </c>
      <c r="O476" s="268">
        <v>4</v>
      </c>
      <c r="BA476" s="269">
        <f>SUM(BA443:BA475)</f>
        <v>0</v>
      </c>
      <c r="BB476" s="269">
        <f>SUM(BB443:BB475)</f>
        <v>0</v>
      </c>
      <c r="BC476" s="269">
        <f>SUM(BC443:BC475)</f>
        <v>0</v>
      </c>
      <c r="BD476" s="269">
        <f>SUM(BD443:BD475)</f>
        <v>0</v>
      </c>
      <c r="BE476" s="269">
        <f>SUM(BE443:BE475)</f>
        <v>0</v>
      </c>
    </row>
    <row r="477" spans="1:15" ht="12.75">
      <c r="A477" s="207" t="s">
        <v>140</v>
      </c>
      <c r="B477" s="208" t="s">
        <v>956</v>
      </c>
      <c r="C477" s="209" t="s">
        <v>957</v>
      </c>
      <c r="D477" s="210"/>
      <c r="E477" s="211"/>
      <c r="F477" s="211"/>
      <c r="G477" s="212"/>
      <c r="H477" s="267"/>
      <c r="I477" s="267"/>
      <c r="O477" s="268">
        <v>1</v>
      </c>
    </row>
    <row r="478" spans="1:104" ht="12.75">
      <c r="A478" s="218">
        <v>117</v>
      </c>
      <c r="B478" s="219" t="s">
        <v>958</v>
      </c>
      <c r="C478" s="220" t="s">
        <v>959</v>
      </c>
      <c r="D478" s="221" t="s">
        <v>145</v>
      </c>
      <c r="E478" s="222">
        <v>-44.5525</v>
      </c>
      <c r="F478" s="222"/>
      <c r="G478" s="223">
        <f>E478*F478</f>
        <v>0</v>
      </c>
      <c r="O478" s="268">
        <v>2</v>
      </c>
      <c r="AA478" s="266">
        <v>1</v>
      </c>
      <c r="AB478" s="266">
        <v>7</v>
      </c>
      <c r="AC478" s="266">
        <v>7</v>
      </c>
      <c r="AZ478" s="266">
        <v>2</v>
      </c>
      <c r="BA478" s="266">
        <f>IF(AZ478=1,G478,0)</f>
        <v>0</v>
      </c>
      <c r="BB478" s="266">
        <f>IF(AZ478=2,G478,0)</f>
        <v>0</v>
      </c>
      <c r="BC478" s="266">
        <f>IF(AZ478=3,G478,0)</f>
        <v>0</v>
      </c>
      <c r="BD478" s="266">
        <f>IF(AZ478=4,G478,0)</f>
        <v>0</v>
      </c>
      <c r="BE478" s="266">
        <f>IF(AZ478=5,G478,0)</f>
        <v>0</v>
      </c>
      <c r="CA478" s="268">
        <v>1</v>
      </c>
      <c r="CB478" s="268">
        <v>7</v>
      </c>
      <c r="CZ478" s="266">
        <v>0.00021</v>
      </c>
    </row>
    <row r="479" spans="1:15" ht="12.75">
      <c r="A479" s="226"/>
      <c r="B479" s="227"/>
      <c r="C479" s="1588" t="s">
        <v>683</v>
      </c>
      <c r="D479" s="1589"/>
      <c r="E479" s="228">
        <v>0</v>
      </c>
      <c r="F479" s="229"/>
      <c r="G479" s="230"/>
      <c r="M479" s="234" t="s">
        <v>683</v>
      </c>
      <c r="O479" s="268"/>
    </row>
    <row r="480" spans="1:15" ht="12.75">
      <c r="A480" s="226"/>
      <c r="B480" s="227"/>
      <c r="C480" s="1598" t="s">
        <v>197</v>
      </c>
      <c r="D480" s="1589"/>
      <c r="E480" s="246">
        <v>0</v>
      </c>
      <c r="F480" s="229"/>
      <c r="G480" s="230"/>
      <c r="M480" s="234" t="s">
        <v>197</v>
      </c>
      <c r="O480" s="268"/>
    </row>
    <row r="481" spans="1:15" ht="12.75">
      <c r="A481" s="226"/>
      <c r="B481" s="227"/>
      <c r="C481" s="1598" t="s">
        <v>570</v>
      </c>
      <c r="D481" s="1589"/>
      <c r="E481" s="246">
        <v>19.72</v>
      </c>
      <c r="F481" s="229"/>
      <c r="G481" s="230"/>
      <c r="M481" s="234" t="s">
        <v>570</v>
      </c>
      <c r="O481" s="268"/>
    </row>
    <row r="482" spans="1:15" ht="12.75">
      <c r="A482" s="226"/>
      <c r="B482" s="227"/>
      <c r="C482" s="1598" t="s">
        <v>571</v>
      </c>
      <c r="D482" s="1589"/>
      <c r="E482" s="246">
        <v>3.9775</v>
      </c>
      <c r="F482" s="229"/>
      <c r="G482" s="230"/>
      <c r="M482" s="234" t="s">
        <v>571</v>
      </c>
      <c r="O482" s="268"/>
    </row>
    <row r="483" spans="1:15" ht="12.75">
      <c r="A483" s="226"/>
      <c r="B483" s="227"/>
      <c r="C483" s="1598" t="s">
        <v>572</v>
      </c>
      <c r="D483" s="1589"/>
      <c r="E483" s="246">
        <v>2.15</v>
      </c>
      <c r="F483" s="229"/>
      <c r="G483" s="230"/>
      <c r="M483" s="234" t="s">
        <v>572</v>
      </c>
      <c r="O483" s="268"/>
    </row>
    <row r="484" spans="1:15" ht="12.75">
      <c r="A484" s="226"/>
      <c r="B484" s="227"/>
      <c r="C484" s="1598" t="s">
        <v>573</v>
      </c>
      <c r="D484" s="1589"/>
      <c r="E484" s="246">
        <v>3.7625</v>
      </c>
      <c r="F484" s="229"/>
      <c r="G484" s="230"/>
      <c r="M484" s="234" t="s">
        <v>573</v>
      </c>
      <c r="O484" s="268"/>
    </row>
    <row r="485" spans="1:15" ht="12.75">
      <c r="A485" s="226"/>
      <c r="B485" s="227"/>
      <c r="C485" s="1598" t="s">
        <v>574</v>
      </c>
      <c r="D485" s="1589"/>
      <c r="E485" s="246">
        <v>3.7625</v>
      </c>
      <c r="F485" s="229"/>
      <c r="G485" s="230"/>
      <c r="M485" s="234" t="s">
        <v>574</v>
      </c>
      <c r="O485" s="268"/>
    </row>
    <row r="486" spans="1:15" ht="12.75">
      <c r="A486" s="226"/>
      <c r="B486" s="227"/>
      <c r="C486" s="1598" t="s">
        <v>960</v>
      </c>
      <c r="D486" s="1589"/>
      <c r="E486" s="246">
        <v>11.18</v>
      </c>
      <c r="F486" s="229"/>
      <c r="G486" s="230"/>
      <c r="M486" s="234" t="s">
        <v>960</v>
      </c>
      <c r="O486" s="268"/>
    </row>
    <row r="487" spans="1:15" ht="12.75">
      <c r="A487" s="226"/>
      <c r="B487" s="227"/>
      <c r="C487" s="1598" t="s">
        <v>199</v>
      </c>
      <c r="D487" s="1589"/>
      <c r="E487" s="246">
        <v>44.552499999999995</v>
      </c>
      <c r="F487" s="229"/>
      <c r="G487" s="230"/>
      <c r="M487" s="234" t="s">
        <v>199</v>
      </c>
      <c r="O487" s="268"/>
    </row>
    <row r="488" spans="1:15" ht="12.75">
      <c r="A488" s="226"/>
      <c r="B488" s="227"/>
      <c r="C488" s="1588" t="s">
        <v>1430</v>
      </c>
      <c r="D488" s="1589"/>
      <c r="E488" s="228">
        <v>-44.5525</v>
      </c>
      <c r="F488" s="229"/>
      <c r="G488" s="230"/>
      <c r="M488" s="680">
        <v>-445525</v>
      </c>
      <c r="O488" s="268"/>
    </row>
    <row r="489" spans="1:104" ht="12.75">
      <c r="A489" s="218">
        <v>118</v>
      </c>
      <c r="B489" s="219" t="s">
        <v>961</v>
      </c>
      <c r="C489" s="220" t="s">
        <v>962</v>
      </c>
      <c r="D489" s="221" t="s">
        <v>231</v>
      </c>
      <c r="E489" s="222">
        <v>0.1</v>
      </c>
      <c r="F489" s="222"/>
      <c r="G489" s="223">
        <f>E489*F489</f>
        <v>0</v>
      </c>
      <c r="O489" s="268">
        <v>2</v>
      </c>
      <c r="AA489" s="266">
        <v>1</v>
      </c>
      <c r="AB489" s="266">
        <v>7</v>
      </c>
      <c r="AC489" s="266">
        <v>7</v>
      </c>
      <c r="AZ489" s="266">
        <v>2</v>
      </c>
      <c r="BA489" s="266">
        <f>IF(AZ489=1,G489,0)</f>
        <v>0</v>
      </c>
      <c r="BB489" s="266">
        <f>IF(AZ489=2,G489,0)</f>
        <v>0</v>
      </c>
      <c r="BC489" s="266">
        <f>IF(AZ489=3,G489,0)</f>
        <v>0</v>
      </c>
      <c r="BD489" s="266">
        <f>IF(AZ489=4,G489,0)</f>
        <v>0</v>
      </c>
      <c r="BE489" s="266">
        <f>IF(AZ489=5,G489,0)</f>
        <v>0</v>
      </c>
      <c r="CA489" s="268">
        <v>1</v>
      </c>
      <c r="CB489" s="268">
        <v>7</v>
      </c>
      <c r="CZ489" s="266">
        <v>0.00056</v>
      </c>
    </row>
    <row r="490" spans="1:15" ht="12.75">
      <c r="A490" s="226"/>
      <c r="B490" s="227"/>
      <c r="C490" s="1588" t="s">
        <v>1431</v>
      </c>
      <c r="D490" s="1589"/>
      <c r="E490" s="228">
        <v>14.8</v>
      </c>
      <c r="F490" s="229"/>
      <c r="G490" s="230"/>
      <c r="M490" s="234" t="s">
        <v>1431</v>
      </c>
      <c r="O490" s="268"/>
    </row>
    <row r="491" spans="1:15" ht="12.75">
      <c r="A491" s="226"/>
      <c r="B491" s="227"/>
      <c r="C491" s="1588" t="s">
        <v>1210</v>
      </c>
      <c r="D491" s="1589"/>
      <c r="E491" s="228">
        <v>-14.7</v>
      </c>
      <c r="F491" s="229"/>
      <c r="G491" s="230"/>
      <c r="M491" s="234" t="s">
        <v>1210</v>
      </c>
      <c r="O491" s="268"/>
    </row>
    <row r="492" spans="1:104" ht="20.4">
      <c r="A492" s="218">
        <v>119</v>
      </c>
      <c r="B492" s="219" t="s">
        <v>964</v>
      </c>
      <c r="C492" s="220" t="s">
        <v>965</v>
      </c>
      <c r="D492" s="221" t="s">
        <v>145</v>
      </c>
      <c r="E492" s="222">
        <v>0.36</v>
      </c>
      <c r="F492" s="222"/>
      <c r="G492" s="223">
        <f>E492*F492</f>
        <v>0</v>
      </c>
      <c r="O492" s="268">
        <v>2</v>
      </c>
      <c r="AA492" s="266">
        <v>1</v>
      </c>
      <c r="AB492" s="266">
        <v>7</v>
      </c>
      <c r="AC492" s="266">
        <v>7</v>
      </c>
      <c r="AZ492" s="266">
        <v>2</v>
      </c>
      <c r="BA492" s="266">
        <f>IF(AZ492=1,G492,0)</f>
        <v>0</v>
      </c>
      <c r="BB492" s="266">
        <f>IF(AZ492=2,G492,0)</f>
        <v>0</v>
      </c>
      <c r="BC492" s="266">
        <f>IF(AZ492=3,G492,0)</f>
        <v>0</v>
      </c>
      <c r="BD492" s="266">
        <f>IF(AZ492=4,G492,0)</f>
        <v>0</v>
      </c>
      <c r="BE492" s="266">
        <f>IF(AZ492=5,G492,0)</f>
        <v>0</v>
      </c>
      <c r="CA492" s="268">
        <v>1</v>
      </c>
      <c r="CB492" s="268">
        <v>7</v>
      </c>
      <c r="CZ492" s="266">
        <v>0.00354</v>
      </c>
    </row>
    <row r="493" spans="1:15" ht="12.75">
      <c r="A493" s="226"/>
      <c r="B493" s="227"/>
      <c r="C493" s="1588" t="s">
        <v>683</v>
      </c>
      <c r="D493" s="1589"/>
      <c r="E493" s="228">
        <v>0</v>
      </c>
      <c r="F493" s="229"/>
      <c r="G493" s="230"/>
      <c r="M493" s="234" t="s">
        <v>683</v>
      </c>
      <c r="O493" s="268"/>
    </row>
    <row r="494" spans="1:15" ht="12.75">
      <c r="A494" s="226"/>
      <c r="B494" s="227"/>
      <c r="C494" s="1588" t="s">
        <v>1255</v>
      </c>
      <c r="D494" s="1589"/>
      <c r="E494" s="228">
        <v>11.44</v>
      </c>
      <c r="F494" s="229"/>
      <c r="G494" s="230"/>
      <c r="M494" s="234" t="s">
        <v>1255</v>
      </c>
      <c r="O494" s="268"/>
    </row>
    <row r="495" spans="1:15" ht="12.75">
      <c r="A495" s="226"/>
      <c r="B495" s="227"/>
      <c r="C495" s="1588" t="s">
        <v>1257</v>
      </c>
      <c r="D495" s="1589"/>
      <c r="E495" s="228">
        <v>3.85</v>
      </c>
      <c r="F495" s="229"/>
      <c r="G495" s="230"/>
      <c r="M495" s="234" t="s">
        <v>1257</v>
      </c>
      <c r="O495" s="268"/>
    </row>
    <row r="496" spans="1:15" ht="12.75">
      <c r="A496" s="226"/>
      <c r="B496" s="227"/>
      <c r="C496" s="1588" t="s">
        <v>1258</v>
      </c>
      <c r="D496" s="1589"/>
      <c r="E496" s="228">
        <v>10.84</v>
      </c>
      <c r="F496" s="229"/>
      <c r="G496" s="230"/>
      <c r="M496" s="234" t="s">
        <v>1258</v>
      </c>
      <c r="O496" s="268"/>
    </row>
    <row r="497" spans="1:15" ht="12.75">
      <c r="A497" s="226"/>
      <c r="B497" s="227"/>
      <c r="C497" s="1588" t="s">
        <v>1259</v>
      </c>
      <c r="D497" s="1589"/>
      <c r="E497" s="228">
        <v>2.36</v>
      </c>
      <c r="F497" s="229"/>
      <c r="G497" s="230"/>
      <c r="M497" s="234" t="s">
        <v>1259</v>
      </c>
      <c r="O497" s="268"/>
    </row>
    <row r="498" spans="1:15" ht="12.75">
      <c r="A498" s="226"/>
      <c r="B498" s="227"/>
      <c r="C498" s="1588" t="s">
        <v>1260</v>
      </c>
      <c r="D498" s="1589"/>
      <c r="E498" s="228">
        <v>3.87</v>
      </c>
      <c r="F498" s="229"/>
      <c r="G498" s="230"/>
      <c r="M498" s="234" t="s">
        <v>1260</v>
      </c>
      <c r="O498" s="268"/>
    </row>
    <row r="499" spans="1:15" ht="12.75">
      <c r="A499" s="226"/>
      <c r="B499" s="227"/>
      <c r="C499" s="1588" t="s">
        <v>1261</v>
      </c>
      <c r="D499" s="1589"/>
      <c r="E499" s="228">
        <v>3.96</v>
      </c>
      <c r="F499" s="229"/>
      <c r="G499" s="230"/>
      <c r="M499" s="234" t="s">
        <v>1261</v>
      </c>
      <c r="O499" s="268"/>
    </row>
    <row r="500" spans="1:15" ht="12.75">
      <c r="A500" s="226"/>
      <c r="B500" s="227"/>
      <c r="C500" s="1588" t="s">
        <v>1262</v>
      </c>
      <c r="D500" s="1589"/>
      <c r="E500" s="228">
        <v>8.59</v>
      </c>
      <c r="F500" s="229"/>
      <c r="G500" s="230"/>
      <c r="M500" s="234" t="s">
        <v>1262</v>
      </c>
      <c r="O500" s="268"/>
    </row>
    <row r="501" spans="1:15" ht="12.75">
      <c r="A501" s="226"/>
      <c r="B501" s="227"/>
      <c r="C501" s="1588" t="s">
        <v>1432</v>
      </c>
      <c r="D501" s="1589"/>
      <c r="E501" s="228">
        <v>-44.55</v>
      </c>
      <c r="F501" s="229"/>
      <c r="G501" s="230"/>
      <c r="M501" s="234" t="s">
        <v>1432</v>
      </c>
      <c r="O501" s="268"/>
    </row>
    <row r="502" spans="1:104" ht="12.75">
      <c r="A502" s="218">
        <v>120</v>
      </c>
      <c r="B502" s="219" t="s">
        <v>967</v>
      </c>
      <c r="C502" s="220" t="s">
        <v>968</v>
      </c>
      <c r="D502" s="221" t="s">
        <v>145</v>
      </c>
      <c r="E502" s="222">
        <v>-2.1931</v>
      </c>
      <c r="F502" s="222"/>
      <c r="G502" s="223">
        <f>E502*F502</f>
        <v>0</v>
      </c>
      <c r="O502" s="268">
        <v>2</v>
      </c>
      <c r="AA502" s="266">
        <v>3</v>
      </c>
      <c r="AB502" s="266">
        <v>7</v>
      </c>
      <c r="AC502" s="266">
        <v>597642031</v>
      </c>
      <c r="AZ502" s="266">
        <v>2</v>
      </c>
      <c r="BA502" s="266">
        <f>IF(AZ502=1,G502,0)</f>
        <v>0</v>
      </c>
      <c r="BB502" s="266">
        <f>IF(AZ502=2,G502,0)</f>
        <v>0</v>
      </c>
      <c r="BC502" s="266">
        <f>IF(AZ502=3,G502,0)</f>
        <v>0</v>
      </c>
      <c r="BD502" s="266">
        <f>IF(AZ502=4,G502,0)</f>
        <v>0</v>
      </c>
      <c r="BE502" s="266">
        <f>IF(AZ502=5,G502,0)</f>
        <v>0</v>
      </c>
      <c r="CA502" s="268">
        <v>3</v>
      </c>
      <c r="CB502" s="268">
        <v>7</v>
      </c>
      <c r="CZ502" s="266">
        <v>0.0192</v>
      </c>
    </row>
    <row r="503" spans="1:15" ht="12.75">
      <c r="A503" s="226"/>
      <c r="B503" s="227"/>
      <c r="C503" s="1588" t="s">
        <v>1433</v>
      </c>
      <c r="D503" s="1589"/>
      <c r="E503" s="228">
        <v>1.776</v>
      </c>
      <c r="F503" s="229"/>
      <c r="G503" s="230"/>
      <c r="M503" s="234" t="s">
        <v>1433</v>
      </c>
      <c r="O503" s="268"/>
    </row>
    <row r="504" spans="1:15" ht="12.75">
      <c r="A504" s="226"/>
      <c r="B504" s="227"/>
      <c r="C504" s="1588" t="s">
        <v>1434</v>
      </c>
      <c r="D504" s="1589"/>
      <c r="E504" s="228">
        <v>47.1555</v>
      </c>
      <c r="F504" s="229"/>
      <c r="G504" s="230"/>
      <c r="M504" s="234" t="s">
        <v>1434</v>
      </c>
      <c r="O504" s="268"/>
    </row>
    <row r="505" spans="1:15" ht="12.75">
      <c r="A505" s="226"/>
      <c r="B505" s="227"/>
      <c r="C505" s="1588" t="s">
        <v>1435</v>
      </c>
      <c r="D505" s="1589"/>
      <c r="E505" s="228">
        <v>-51.1246</v>
      </c>
      <c r="F505" s="229"/>
      <c r="G505" s="230"/>
      <c r="M505" s="680">
        <v>-511246</v>
      </c>
      <c r="O505" s="268"/>
    </row>
    <row r="506" spans="1:104" ht="12.75">
      <c r="A506" s="218">
        <v>121</v>
      </c>
      <c r="B506" s="219" t="s">
        <v>972</v>
      </c>
      <c r="C506" s="220" t="s">
        <v>973</v>
      </c>
      <c r="D506" s="221" t="s">
        <v>9</v>
      </c>
      <c r="E506" s="222"/>
      <c r="F506" s="222"/>
      <c r="G506" s="223">
        <f>E506*F506</f>
        <v>0</v>
      </c>
      <c r="O506" s="268">
        <v>2</v>
      </c>
      <c r="AA506" s="266">
        <v>7</v>
      </c>
      <c r="AB506" s="266">
        <v>1002</v>
      </c>
      <c r="AC506" s="266">
        <v>5</v>
      </c>
      <c r="AZ506" s="266">
        <v>2</v>
      </c>
      <c r="BA506" s="266">
        <f>IF(AZ506=1,G506,0)</f>
        <v>0</v>
      </c>
      <c r="BB506" s="266">
        <f>IF(AZ506=2,G506,0)</f>
        <v>0</v>
      </c>
      <c r="BC506" s="266">
        <f>IF(AZ506=3,G506,0)</f>
        <v>0</v>
      </c>
      <c r="BD506" s="266">
        <f>IF(AZ506=4,G506,0)</f>
        <v>0</v>
      </c>
      <c r="BE506" s="266">
        <f>IF(AZ506=5,G506,0)</f>
        <v>0</v>
      </c>
      <c r="CA506" s="268">
        <v>7</v>
      </c>
      <c r="CB506" s="268">
        <v>1002</v>
      </c>
      <c r="CZ506" s="266">
        <v>0</v>
      </c>
    </row>
    <row r="507" spans="1:57" ht="12.75">
      <c r="A507" s="236"/>
      <c r="B507" s="237" t="s">
        <v>175</v>
      </c>
      <c r="C507" s="238" t="str">
        <f>CONCATENATE(B477," ",C477)</f>
        <v>771 Podlahy z dlaždic a obklady</v>
      </c>
      <c r="D507" s="239"/>
      <c r="E507" s="240"/>
      <c r="F507" s="241"/>
      <c r="G507" s="242">
        <f>SUM(G477:G506)</f>
        <v>0</v>
      </c>
      <c r="O507" s="268">
        <v>4</v>
      </c>
      <c r="BA507" s="269">
        <f>SUM(BA477:BA506)</f>
        <v>0</v>
      </c>
      <c r="BB507" s="269">
        <f>SUM(BB477:BB506)</f>
        <v>0</v>
      </c>
      <c r="BC507" s="269">
        <f>SUM(BC477:BC506)</f>
        <v>0</v>
      </c>
      <c r="BD507" s="269">
        <f>SUM(BD477:BD506)</f>
        <v>0</v>
      </c>
      <c r="BE507" s="269">
        <f>SUM(BE477:BE506)</f>
        <v>0</v>
      </c>
    </row>
    <row r="508" spans="1:15" ht="12.75">
      <c r="A508" s="207" t="s">
        <v>140</v>
      </c>
      <c r="B508" s="208" t="s">
        <v>975</v>
      </c>
      <c r="C508" s="209" t="s">
        <v>976</v>
      </c>
      <c r="D508" s="210"/>
      <c r="E508" s="211"/>
      <c r="F508" s="211"/>
      <c r="G508" s="212"/>
      <c r="H508" s="267"/>
      <c r="I508" s="267"/>
      <c r="O508" s="268">
        <v>1</v>
      </c>
    </row>
    <row r="509" spans="1:104" ht="20.4">
      <c r="A509" s="218">
        <v>122</v>
      </c>
      <c r="B509" s="219" t="s">
        <v>977</v>
      </c>
      <c r="C509" s="220" t="s">
        <v>978</v>
      </c>
      <c r="D509" s="221" t="s">
        <v>145</v>
      </c>
      <c r="E509" s="222">
        <v>38.5652</v>
      </c>
      <c r="F509" s="222"/>
      <c r="G509" s="223">
        <f>E509*F509</f>
        <v>0</v>
      </c>
      <c r="O509" s="268">
        <v>2</v>
      </c>
      <c r="AA509" s="266">
        <v>1</v>
      </c>
      <c r="AB509" s="266">
        <v>0</v>
      </c>
      <c r="AC509" s="266">
        <v>0</v>
      </c>
      <c r="AZ509" s="266">
        <v>2</v>
      </c>
      <c r="BA509" s="266">
        <f>IF(AZ509=1,G509,0)</f>
        <v>0</v>
      </c>
      <c r="BB509" s="266">
        <f>IF(AZ509=2,G509,0)</f>
        <v>0</v>
      </c>
      <c r="BC509" s="266">
        <f>IF(AZ509=3,G509,0)</f>
        <v>0</v>
      </c>
      <c r="BD509" s="266">
        <f>IF(AZ509=4,G509,0)</f>
        <v>0</v>
      </c>
      <c r="BE509" s="266">
        <f>IF(AZ509=5,G509,0)</f>
        <v>0</v>
      </c>
      <c r="CA509" s="268">
        <v>1</v>
      </c>
      <c r="CB509" s="268">
        <v>0</v>
      </c>
      <c r="CZ509" s="266">
        <v>0.00475</v>
      </c>
    </row>
    <row r="510" spans="1:15" ht="12.75">
      <c r="A510" s="226"/>
      <c r="B510" s="227"/>
      <c r="C510" s="1588" t="s">
        <v>1436</v>
      </c>
      <c r="D510" s="1589"/>
      <c r="E510" s="228">
        <v>18.17</v>
      </c>
      <c r="F510" s="229"/>
      <c r="G510" s="230"/>
      <c r="M510" s="234" t="s">
        <v>1436</v>
      </c>
      <c r="O510" s="268"/>
    </row>
    <row r="511" spans="1:15" ht="12.75">
      <c r="A511" s="226"/>
      <c r="B511" s="227"/>
      <c r="C511" s="1588" t="s">
        <v>1437</v>
      </c>
      <c r="D511" s="1589"/>
      <c r="E511" s="228">
        <v>30.5348</v>
      </c>
      <c r="F511" s="229"/>
      <c r="G511" s="230"/>
      <c r="M511" s="234" t="s">
        <v>1437</v>
      </c>
      <c r="O511" s="268"/>
    </row>
    <row r="512" spans="1:15" ht="12.75">
      <c r="A512" s="226"/>
      <c r="B512" s="227"/>
      <c r="C512" s="1588" t="s">
        <v>1438</v>
      </c>
      <c r="D512" s="1589"/>
      <c r="E512" s="228">
        <v>14.95</v>
      </c>
      <c r="F512" s="229"/>
      <c r="G512" s="230"/>
      <c r="M512" s="234" t="s">
        <v>1438</v>
      </c>
      <c r="O512" s="268"/>
    </row>
    <row r="513" spans="1:15" ht="12.75">
      <c r="A513" s="226"/>
      <c r="B513" s="227"/>
      <c r="C513" s="1588" t="s">
        <v>1439</v>
      </c>
      <c r="D513" s="1589"/>
      <c r="E513" s="228">
        <v>20.54</v>
      </c>
      <c r="F513" s="229"/>
      <c r="G513" s="230"/>
      <c r="M513" s="234" t="s">
        <v>1439</v>
      </c>
      <c r="O513" s="268"/>
    </row>
    <row r="514" spans="1:15" ht="12.75">
      <c r="A514" s="226"/>
      <c r="B514" s="227"/>
      <c r="C514" s="1588" t="s">
        <v>1440</v>
      </c>
      <c r="D514" s="1589"/>
      <c r="E514" s="228">
        <v>20.54</v>
      </c>
      <c r="F514" s="229"/>
      <c r="G514" s="230"/>
      <c r="M514" s="234" t="s">
        <v>1440</v>
      </c>
      <c r="O514" s="268"/>
    </row>
    <row r="515" spans="1:15" ht="12.75">
      <c r="A515" s="226"/>
      <c r="B515" s="227"/>
      <c r="C515" s="1588" t="s">
        <v>1441</v>
      </c>
      <c r="D515" s="1589"/>
      <c r="E515" s="228">
        <v>31.9904</v>
      </c>
      <c r="F515" s="229"/>
      <c r="G515" s="230"/>
      <c r="M515" s="234" t="s">
        <v>1441</v>
      </c>
      <c r="O515" s="268"/>
    </row>
    <row r="516" spans="1:15" ht="12.75">
      <c r="A516" s="226"/>
      <c r="B516" s="227"/>
      <c r="C516" s="1588" t="s">
        <v>1442</v>
      </c>
      <c r="D516" s="1589"/>
      <c r="E516" s="228">
        <v>-98.16</v>
      </c>
      <c r="F516" s="229"/>
      <c r="G516" s="230"/>
      <c r="M516" s="234" t="s">
        <v>1442</v>
      </c>
      <c r="O516" s="268"/>
    </row>
    <row r="517" spans="1:104" ht="12.75">
      <c r="A517" s="218">
        <v>123</v>
      </c>
      <c r="B517" s="219" t="s">
        <v>988</v>
      </c>
      <c r="C517" s="220" t="s">
        <v>989</v>
      </c>
      <c r="D517" s="221" t="s">
        <v>145</v>
      </c>
      <c r="E517" s="222">
        <v>25.7715</v>
      </c>
      <c r="F517" s="222"/>
      <c r="G517" s="223">
        <f>E517*F517</f>
        <v>0</v>
      </c>
      <c r="O517" s="268">
        <v>2</v>
      </c>
      <c r="AA517" s="266">
        <v>3</v>
      </c>
      <c r="AB517" s="266">
        <v>7</v>
      </c>
      <c r="AC517" s="266">
        <v>597813625</v>
      </c>
      <c r="AZ517" s="266">
        <v>2</v>
      </c>
      <c r="BA517" s="266">
        <f>IF(AZ517=1,G517,0)</f>
        <v>0</v>
      </c>
      <c r="BB517" s="266">
        <f>IF(AZ517=2,G517,0)</f>
        <v>0</v>
      </c>
      <c r="BC517" s="266">
        <f>IF(AZ517=3,G517,0)</f>
        <v>0</v>
      </c>
      <c r="BD517" s="266">
        <f>IF(AZ517=4,G517,0)</f>
        <v>0</v>
      </c>
      <c r="BE517" s="266">
        <f>IF(AZ517=5,G517,0)</f>
        <v>0</v>
      </c>
      <c r="CA517" s="268">
        <v>3</v>
      </c>
      <c r="CB517" s="268">
        <v>7</v>
      </c>
      <c r="CZ517" s="266">
        <v>0.0122</v>
      </c>
    </row>
    <row r="518" spans="1:15" ht="12.75">
      <c r="A518" s="226"/>
      <c r="B518" s="227"/>
      <c r="C518" s="1598" t="s">
        <v>197</v>
      </c>
      <c r="D518" s="1589"/>
      <c r="E518" s="246">
        <v>0</v>
      </c>
      <c r="F518" s="229"/>
      <c r="G518" s="230"/>
      <c r="M518" s="234" t="s">
        <v>197</v>
      </c>
      <c r="O518" s="268"/>
    </row>
    <row r="519" spans="1:15" ht="12.75">
      <c r="A519" s="226"/>
      <c r="B519" s="227"/>
      <c r="C519" s="1598" t="s">
        <v>1436</v>
      </c>
      <c r="D519" s="1589"/>
      <c r="E519" s="246">
        <v>18.17</v>
      </c>
      <c r="F519" s="229"/>
      <c r="G519" s="230"/>
      <c r="M519" s="234" t="s">
        <v>1436</v>
      </c>
      <c r="O519" s="268"/>
    </row>
    <row r="520" spans="1:15" ht="12.75">
      <c r="A520" s="226"/>
      <c r="B520" s="227"/>
      <c r="C520" s="1598" t="s">
        <v>1437</v>
      </c>
      <c r="D520" s="1589"/>
      <c r="E520" s="246">
        <v>30.5348</v>
      </c>
      <c r="F520" s="229"/>
      <c r="G520" s="230"/>
      <c r="M520" s="234" t="s">
        <v>1437</v>
      </c>
      <c r="O520" s="268"/>
    </row>
    <row r="521" spans="1:15" ht="12.75">
      <c r="A521" s="226"/>
      <c r="B521" s="227"/>
      <c r="C521" s="1598" t="s">
        <v>1438</v>
      </c>
      <c r="D521" s="1589"/>
      <c r="E521" s="246">
        <v>14.95</v>
      </c>
      <c r="F521" s="229"/>
      <c r="G521" s="230"/>
      <c r="M521" s="234" t="s">
        <v>1438</v>
      </c>
      <c r="O521" s="268"/>
    </row>
    <row r="522" spans="1:15" ht="12.75">
      <c r="A522" s="226"/>
      <c r="B522" s="227"/>
      <c r="C522" s="1598" t="s">
        <v>1439</v>
      </c>
      <c r="D522" s="1589"/>
      <c r="E522" s="246">
        <v>20.54</v>
      </c>
      <c r="F522" s="229"/>
      <c r="G522" s="230"/>
      <c r="M522" s="234" t="s">
        <v>1439</v>
      </c>
      <c r="O522" s="268"/>
    </row>
    <row r="523" spans="1:15" ht="12.75">
      <c r="A523" s="226"/>
      <c r="B523" s="227"/>
      <c r="C523" s="1598" t="s">
        <v>1440</v>
      </c>
      <c r="D523" s="1589"/>
      <c r="E523" s="246">
        <v>20.54</v>
      </c>
      <c r="F523" s="229"/>
      <c r="G523" s="230"/>
      <c r="M523" s="234" t="s">
        <v>1440</v>
      </c>
      <c r="O523" s="268"/>
    </row>
    <row r="524" spans="1:15" ht="12.75">
      <c r="A524" s="226"/>
      <c r="B524" s="227"/>
      <c r="C524" s="1598" t="s">
        <v>1441</v>
      </c>
      <c r="D524" s="1589"/>
      <c r="E524" s="246">
        <v>31.9904</v>
      </c>
      <c r="F524" s="229"/>
      <c r="G524" s="230"/>
      <c r="M524" s="234" t="s">
        <v>1441</v>
      </c>
      <c r="O524" s="268"/>
    </row>
    <row r="525" spans="1:15" ht="12.75">
      <c r="A525" s="226"/>
      <c r="B525" s="227"/>
      <c r="C525" s="1598" t="s">
        <v>199</v>
      </c>
      <c r="D525" s="1589"/>
      <c r="E525" s="246">
        <v>136.7252</v>
      </c>
      <c r="F525" s="229"/>
      <c r="G525" s="230"/>
      <c r="M525" s="234" t="s">
        <v>199</v>
      </c>
      <c r="O525" s="268"/>
    </row>
    <row r="526" spans="1:15" ht="12.75">
      <c r="A526" s="226"/>
      <c r="B526" s="227"/>
      <c r="C526" s="1588" t="s">
        <v>1443</v>
      </c>
      <c r="D526" s="1589"/>
      <c r="E526" s="228">
        <v>143.5615</v>
      </c>
      <c r="F526" s="229"/>
      <c r="G526" s="230"/>
      <c r="M526" s="234" t="s">
        <v>1443</v>
      </c>
      <c r="O526" s="268"/>
    </row>
    <row r="527" spans="1:15" ht="12.75">
      <c r="A527" s="226"/>
      <c r="B527" s="227"/>
      <c r="C527" s="1588" t="s">
        <v>1444</v>
      </c>
      <c r="D527" s="1589"/>
      <c r="E527" s="228">
        <v>-117.79</v>
      </c>
      <c r="F527" s="229"/>
      <c r="G527" s="230"/>
      <c r="M527" s="234" t="s">
        <v>1444</v>
      </c>
      <c r="O527" s="268"/>
    </row>
    <row r="528" spans="1:104" ht="12.75">
      <c r="A528" s="218">
        <v>124</v>
      </c>
      <c r="B528" s="219" t="s">
        <v>991</v>
      </c>
      <c r="C528" s="220" t="s">
        <v>992</v>
      </c>
      <c r="D528" s="221" t="s">
        <v>9</v>
      </c>
      <c r="E528" s="222"/>
      <c r="F528" s="222"/>
      <c r="G528" s="223">
        <f>E528*F528</f>
        <v>0</v>
      </c>
      <c r="O528" s="268">
        <v>2</v>
      </c>
      <c r="AA528" s="266">
        <v>7</v>
      </c>
      <c r="AB528" s="266">
        <v>1002</v>
      </c>
      <c r="AC528" s="266">
        <v>5</v>
      </c>
      <c r="AZ528" s="266">
        <v>2</v>
      </c>
      <c r="BA528" s="266">
        <f>IF(AZ528=1,G528,0)</f>
        <v>0</v>
      </c>
      <c r="BB528" s="266">
        <f>IF(AZ528=2,G528,0)</f>
        <v>0</v>
      </c>
      <c r="BC528" s="266">
        <f>IF(AZ528=3,G528,0)</f>
        <v>0</v>
      </c>
      <c r="BD528" s="266">
        <f>IF(AZ528=4,G528,0)</f>
        <v>0</v>
      </c>
      <c r="BE528" s="266">
        <f>IF(AZ528=5,G528,0)</f>
        <v>0</v>
      </c>
      <c r="CA528" s="268">
        <v>7</v>
      </c>
      <c r="CB528" s="268">
        <v>1002</v>
      </c>
      <c r="CZ528" s="266">
        <v>0</v>
      </c>
    </row>
    <row r="529" spans="1:57" ht="12.75">
      <c r="A529" s="236"/>
      <c r="B529" s="237" t="s">
        <v>175</v>
      </c>
      <c r="C529" s="238" t="str">
        <f>CONCATENATE(B508," ",C508)</f>
        <v>781 Obklady keramické</v>
      </c>
      <c r="D529" s="239"/>
      <c r="E529" s="240"/>
      <c r="F529" s="241"/>
      <c r="G529" s="242">
        <f>SUM(G508:G528)</f>
        <v>0</v>
      </c>
      <c r="O529" s="268">
        <v>4</v>
      </c>
      <c r="BA529" s="269">
        <f>SUM(BA508:BA528)</f>
        <v>0</v>
      </c>
      <c r="BB529" s="269">
        <f>SUM(BB508:BB528)</f>
        <v>0</v>
      </c>
      <c r="BC529" s="269">
        <f>SUM(BC508:BC528)</f>
        <v>0</v>
      </c>
      <c r="BD529" s="269">
        <f>SUM(BD508:BD528)</f>
        <v>0</v>
      </c>
      <c r="BE529" s="269">
        <f>SUM(BE508:BE528)</f>
        <v>0</v>
      </c>
    </row>
    <row r="530" spans="1:15" ht="12.75">
      <c r="A530" s="207" t="s">
        <v>140</v>
      </c>
      <c r="B530" s="208" t="s">
        <v>1003</v>
      </c>
      <c r="C530" s="209" t="s">
        <v>1004</v>
      </c>
      <c r="D530" s="210"/>
      <c r="E530" s="211"/>
      <c r="F530" s="211"/>
      <c r="G530" s="212"/>
      <c r="H530" s="267"/>
      <c r="I530" s="267"/>
      <c r="O530" s="268">
        <v>1</v>
      </c>
    </row>
    <row r="531" spans="1:104" ht="12.75">
      <c r="A531" s="218">
        <v>125</v>
      </c>
      <c r="B531" s="219" t="s">
        <v>1005</v>
      </c>
      <c r="C531" s="220" t="s">
        <v>1006</v>
      </c>
      <c r="D531" s="221" t="s">
        <v>145</v>
      </c>
      <c r="E531" s="222">
        <v>-9.028</v>
      </c>
      <c r="F531" s="222"/>
      <c r="G531" s="223">
        <f>E531*F531</f>
        <v>0</v>
      </c>
      <c r="O531" s="268">
        <v>2</v>
      </c>
      <c r="AA531" s="266">
        <v>1</v>
      </c>
      <c r="AB531" s="266">
        <v>7</v>
      </c>
      <c r="AC531" s="266">
        <v>7</v>
      </c>
      <c r="AZ531" s="266">
        <v>2</v>
      </c>
      <c r="BA531" s="266">
        <f>IF(AZ531=1,G531,0)</f>
        <v>0</v>
      </c>
      <c r="BB531" s="266">
        <f>IF(AZ531=2,G531,0)</f>
        <v>0</v>
      </c>
      <c r="BC531" s="266">
        <f>IF(AZ531=3,G531,0)</f>
        <v>0</v>
      </c>
      <c r="BD531" s="266">
        <f>IF(AZ531=4,G531,0)</f>
        <v>0</v>
      </c>
      <c r="BE531" s="266">
        <f>IF(AZ531=5,G531,0)</f>
        <v>0</v>
      </c>
      <c r="CA531" s="268">
        <v>1</v>
      </c>
      <c r="CB531" s="268">
        <v>7</v>
      </c>
      <c r="CZ531" s="266">
        <v>7E-05</v>
      </c>
    </row>
    <row r="532" spans="1:15" ht="12.75">
      <c r="A532" s="226"/>
      <c r="B532" s="227"/>
      <c r="C532" s="1588" t="s">
        <v>1445</v>
      </c>
      <c r="D532" s="1589"/>
      <c r="E532" s="228">
        <v>0</v>
      </c>
      <c r="F532" s="229"/>
      <c r="G532" s="230"/>
      <c r="M532" s="234" t="s">
        <v>1445</v>
      </c>
      <c r="O532" s="268"/>
    </row>
    <row r="533" spans="1:15" ht="12.75">
      <c r="A533" s="226"/>
      <c r="B533" s="227"/>
      <c r="C533" s="1588" t="s">
        <v>1255</v>
      </c>
      <c r="D533" s="1589"/>
      <c r="E533" s="228">
        <v>11.44</v>
      </c>
      <c r="F533" s="229"/>
      <c r="G533" s="230"/>
      <c r="M533" s="234" t="s">
        <v>1255</v>
      </c>
      <c r="O533" s="268"/>
    </row>
    <row r="534" spans="1:15" ht="12.75">
      <c r="A534" s="226"/>
      <c r="B534" s="227"/>
      <c r="C534" s="1588" t="s">
        <v>1257</v>
      </c>
      <c r="D534" s="1589"/>
      <c r="E534" s="228">
        <v>3.85</v>
      </c>
      <c r="F534" s="229"/>
      <c r="G534" s="230"/>
      <c r="M534" s="234" t="s">
        <v>1257</v>
      </c>
      <c r="O534" s="268"/>
    </row>
    <row r="535" spans="1:15" ht="12.75">
      <c r="A535" s="226"/>
      <c r="B535" s="227"/>
      <c r="C535" s="1588" t="s">
        <v>1258</v>
      </c>
      <c r="D535" s="1589"/>
      <c r="E535" s="228">
        <v>10.84</v>
      </c>
      <c r="F535" s="229"/>
      <c r="G535" s="230"/>
      <c r="M535" s="234" t="s">
        <v>1258</v>
      </c>
      <c r="O535" s="268"/>
    </row>
    <row r="536" spans="1:15" ht="12.75">
      <c r="A536" s="226"/>
      <c r="B536" s="227"/>
      <c r="C536" s="1588" t="s">
        <v>1259</v>
      </c>
      <c r="D536" s="1589"/>
      <c r="E536" s="228">
        <v>2.36</v>
      </c>
      <c r="F536" s="229"/>
      <c r="G536" s="230"/>
      <c r="M536" s="234" t="s">
        <v>1259</v>
      </c>
      <c r="O536" s="268"/>
    </row>
    <row r="537" spans="1:15" ht="12.75">
      <c r="A537" s="226"/>
      <c r="B537" s="227"/>
      <c r="C537" s="1588" t="s">
        <v>1260</v>
      </c>
      <c r="D537" s="1589"/>
      <c r="E537" s="228">
        <v>3.87</v>
      </c>
      <c r="F537" s="229"/>
      <c r="G537" s="230"/>
      <c r="M537" s="234" t="s">
        <v>1260</v>
      </c>
      <c r="O537" s="268"/>
    </row>
    <row r="538" spans="1:15" ht="12.75">
      <c r="A538" s="226"/>
      <c r="B538" s="227"/>
      <c r="C538" s="1588" t="s">
        <v>1261</v>
      </c>
      <c r="D538" s="1589"/>
      <c r="E538" s="228">
        <v>3.96</v>
      </c>
      <c r="F538" s="229"/>
      <c r="G538" s="230"/>
      <c r="M538" s="234" t="s">
        <v>1261</v>
      </c>
      <c r="O538" s="268"/>
    </row>
    <row r="539" spans="1:15" ht="12.75">
      <c r="A539" s="226"/>
      <c r="B539" s="227"/>
      <c r="C539" s="1588" t="s">
        <v>1262</v>
      </c>
      <c r="D539" s="1589"/>
      <c r="E539" s="228">
        <v>8.59</v>
      </c>
      <c r="F539" s="229"/>
      <c r="G539" s="230"/>
      <c r="M539" s="234" t="s">
        <v>1262</v>
      </c>
      <c r="O539" s="268"/>
    </row>
    <row r="540" spans="1:15" ht="12.75">
      <c r="A540" s="226"/>
      <c r="B540" s="227"/>
      <c r="C540" s="1588" t="s">
        <v>1446</v>
      </c>
      <c r="D540" s="1589"/>
      <c r="E540" s="228">
        <v>0</v>
      </c>
      <c r="F540" s="229"/>
      <c r="G540" s="230"/>
      <c r="M540" s="234" t="s">
        <v>1446</v>
      </c>
      <c r="O540" s="268"/>
    </row>
    <row r="541" spans="1:15" ht="12.75">
      <c r="A541" s="226"/>
      <c r="B541" s="227"/>
      <c r="C541" s="1588" t="s">
        <v>1447</v>
      </c>
      <c r="D541" s="1589"/>
      <c r="E541" s="228">
        <v>26.312</v>
      </c>
      <c r="F541" s="229"/>
      <c r="G541" s="230"/>
      <c r="M541" s="234" t="s">
        <v>1447</v>
      </c>
      <c r="O541" s="268"/>
    </row>
    <row r="542" spans="1:15" ht="12.75">
      <c r="A542" s="226"/>
      <c r="B542" s="227"/>
      <c r="C542" s="1588" t="s">
        <v>1448</v>
      </c>
      <c r="D542" s="1589"/>
      <c r="E542" s="228">
        <v>-80.25</v>
      </c>
      <c r="F542" s="229"/>
      <c r="G542" s="230"/>
      <c r="M542" s="234" t="s">
        <v>1448</v>
      </c>
      <c r="O542" s="268"/>
    </row>
    <row r="543" spans="1:104" ht="12.75">
      <c r="A543" s="218">
        <v>126</v>
      </c>
      <c r="B543" s="219" t="s">
        <v>1009</v>
      </c>
      <c r="C543" s="220" t="s">
        <v>1449</v>
      </c>
      <c r="D543" s="221" t="s">
        <v>145</v>
      </c>
      <c r="E543" s="222">
        <v>-9.028</v>
      </c>
      <c r="F543" s="222"/>
      <c r="G543" s="223">
        <f>E543*F543</f>
        <v>0</v>
      </c>
      <c r="O543" s="268">
        <v>2</v>
      </c>
      <c r="AA543" s="266">
        <v>1</v>
      </c>
      <c r="AB543" s="266">
        <v>7</v>
      </c>
      <c r="AC543" s="266">
        <v>7</v>
      </c>
      <c r="AZ543" s="266">
        <v>2</v>
      </c>
      <c r="BA543" s="266">
        <f>IF(AZ543=1,G543,0)</f>
        <v>0</v>
      </c>
      <c r="BB543" s="266">
        <f>IF(AZ543=2,G543,0)</f>
        <v>0</v>
      </c>
      <c r="BC543" s="266">
        <f>IF(AZ543=3,G543,0)</f>
        <v>0</v>
      </c>
      <c r="BD543" s="266">
        <f>IF(AZ543=4,G543,0)</f>
        <v>0</v>
      </c>
      <c r="BE543" s="266">
        <f>IF(AZ543=5,G543,0)</f>
        <v>0</v>
      </c>
      <c r="CA543" s="268">
        <v>1</v>
      </c>
      <c r="CB543" s="268">
        <v>7</v>
      </c>
      <c r="CZ543" s="266">
        <v>0.00024</v>
      </c>
    </row>
    <row r="544" spans="1:15" ht="12.75">
      <c r="A544" s="226"/>
      <c r="B544" s="227"/>
      <c r="C544" s="1588" t="s">
        <v>1445</v>
      </c>
      <c r="D544" s="1589"/>
      <c r="E544" s="228">
        <v>0</v>
      </c>
      <c r="F544" s="229"/>
      <c r="G544" s="230"/>
      <c r="M544" s="234" t="s">
        <v>1445</v>
      </c>
      <c r="O544" s="268"/>
    </row>
    <row r="545" spans="1:15" ht="12.75">
      <c r="A545" s="226"/>
      <c r="B545" s="227"/>
      <c r="C545" s="1588" t="s">
        <v>1255</v>
      </c>
      <c r="D545" s="1589"/>
      <c r="E545" s="228">
        <v>11.44</v>
      </c>
      <c r="F545" s="229"/>
      <c r="G545" s="230"/>
      <c r="M545" s="234" t="s">
        <v>1255</v>
      </c>
      <c r="O545" s="268"/>
    </row>
    <row r="546" spans="1:15" ht="12.75">
      <c r="A546" s="226"/>
      <c r="B546" s="227"/>
      <c r="C546" s="1588" t="s">
        <v>1257</v>
      </c>
      <c r="D546" s="1589"/>
      <c r="E546" s="228">
        <v>3.85</v>
      </c>
      <c r="F546" s="229"/>
      <c r="G546" s="230"/>
      <c r="M546" s="234" t="s">
        <v>1257</v>
      </c>
      <c r="O546" s="268"/>
    </row>
    <row r="547" spans="1:15" ht="12.75">
      <c r="A547" s="226"/>
      <c r="B547" s="227"/>
      <c r="C547" s="1588" t="s">
        <v>1258</v>
      </c>
      <c r="D547" s="1589"/>
      <c r="E547" s="228">
        <v>10.84</v>
      </c>
      <c r="F547" s="229"/>
      <c r="G547" s="230"/>
      <c r="M547" s="234" t="s">
        <v>1258</v>
      </c>
      <c r="O547" s="268"/>
    </row>
    <row r="548" spans="1:15" ht="12.75">
      <c r="A548" s="226"/>
      <c r="B548" s="227"/>
      <c r="C548" s="1588" t="s">
        <v>1259</v>
      </c>
      <c r="D548" s="1589"/>
      <c r="E548" s="228">
        <v>2.36</v>
      </c>
      <c r="F548" s="229"/>
      <c r="G548" s="230"/>
      <c r="M548" s="234" t="s">
        <v>1259</v>
      </c>
      <c r="O548" s="268"/>
    </row>
    <row r="549" spans="1:15" ht="12.75">
      <c r="A549" s="226"/>
      <c r="B549" s="227"/>
      <c r="C549" s="1588" t="s">
        <v>1260</v>
      </c>
      <c r="D549" s="1589"/>
      <c r="E549" s="228">
        <v>3.87</v>
      </c>
      <c r="F549" s="229"/>
      <c r="G549" s="230"/>
      <c r="M549" s="234" t="s">
        <v>1260</v>
      </c>
      <c r="O549" s="268"/>
    </row>
    <row r="550" spans="1:15" ht="12.75">
      <c r="A550" s="226"/>
      <c r="B550" s="227"/>
      <c r="C550" s="1588" t="s">
        <v>1261</v>
      </c>
      <c r="D550" s="1589"/>
      <c r="E550" s="228">
        <v>3.96</v>
      </c>
      <c r="F550" s="229"/>
      <c r="G550" s="230"/>
      <c r="M550" s="234" t="s">
        <v>1261</v>
      </c>
      <c r="O550" s="268"/>
    </row>
    <row r="551" spans="1:15" ht="12.75">
      <c r="A551" s="226"/>
      <c r="B551" s="227"/>
      <c r="C551" s="1588" t="s">
        <v>1262</v>
      </c>
      <c r="D551" s="1589"/>
      <c r="E551" s="228">
        <v>8.59</v>
      </c>
      <c r="F551" s="229"/>
      <c r="G551" s="230"/>
      <c r="M551" s="234" t="s">
        <v>1262</v>
      </c>
      <c r="O551" s="268"/>
    </row>
    <row r="552" spans="1:15" ht="12.75">
      <c r="A552" s="226"/>
      <c r="B552" s="227"/>
      <c r="C552" s="1588" t="s">
        <v>1446</v>
      </c>
      <c r="D552" s="1589"/>
      <c r="E552" s="228">
        <v>0</v>
      </c>
      <c r="F552" s="229"/>
      <c r="G552" s="230"/>
      <c r="M552" s="234" t="s">
        <v>1446</v>
      </c>
      <c r="O552" s="268"/>
    </row>
    <row r="553" spans="1:15" ht="12.75">
      <c r="A553" s="226"/>
      <c r="B553" s="227"/>
      <c r="C553" s="1588" t="s">
        <v>1447</v>
      </c>
      <c r="D553" s="1589"/>
      <c r="E553" s="228">
        <v>26.312</v>
      </c>
      <c r="F553" s="229"/>
      <c r="G553" s="230"/>
      <c r="M553" s="234" t="s">
        <v>1447</v>
      </c>
      <c r="O553" s="268"/>
    </row>
    <row r="554" spans="1:15" ht="12.75">
      <c r="A554" s="226"/>
      <c r="B554" s="227"/>
      <c r="C554" s="1588" t="s">
        <v>1448</v>
      </c>
      <c r="D554" s="1589"/>
      <c r="E554" s="228">
        <v>-80.25</v>
      </c>
      <c r="F554" s="229"/>
      <c r="G554" s="230"/>
      <c r="M554" s="234" t="s">
        <v>1448</v>
      </c>
      <c r="O554" s="268"/>
    </row>
    <row r="555" spans="1:57" ht="12.75">
      <c r="A555" s="236"/>
      <c r="B555" s="237" t="s">
        <v>175</v>
      </c>
      <c r="C555" s="238" t="str">
        <f>CONCATENATE(B530," ",C530)</f>
        <v>784 Malby</v>
      </c>
      <c r="D555" s="239"/>
      <c r="E555" s="240"/>
      <c r="F555" s="241"/>
      <c r="G555" s="242">
        <f>SUM(G530:G554)</f>
        <v>0</v>
      </c>
      <c r="O555" s="268">
        <v>4</v>
      </c>
      <c r="BA555" s="269">
        <f>SUM(BA530:BA554)</f>
        <v>0</v>
      </c>
      <c r="BB555" s="269">
        <f>SUM(BB530:BB554)</f>
        <v>0</v>
      </c>
      <c r="BC555" s="269">
        <f>SUM(BC530:BC554)</f>
        <v>0</v>
      </c>
      <c r="BD555" s="269">
        <f>SUM(BD530:BD554)</f>
        <v>0</v>
      </c>
      <c r="BE555" s="269">
        <f>SUM(BE530:BE554)</f>
        <v>0</v>
      </c>
    </row>
    <row r="556" spans="1:15" ht="12.75">
      <c r="A556" s="207" t="s">
        <v>140</v>
      </c>
      <c r="B556" s="208" t="s">
        <v>266</v>
      </c>
      <c r="C556" s="209" t="s">
        <v>267</v>
      </c>
      <c r="D556" s="210"/>
      <c r="E556" s="211"/>
      <c r="F556" s="211"/>
      <c r="G556" s="212"/>
      <c r="H556" s="267"/>
      <c r="I556" s="267"/>
      <c r="O556" s="268">
        <v>1</v>
      </c>
    </row>
    <row r="557" spans="1:104" ht="12.75">
      <c r="A557" s="218">
        <v>127</v>
      </c>
      <c r="B557" s="219" t="s">
        <v>268</v>
      </c>
      <c r="C557" s="220" t="s">
        <v>269</v>
      </c>
      <c r="D557" s="221" t="s">
        <v>166</v>
      </c>
      <c r="E557" s="222">
        <v>3.68676</v>
      </c>
      <c r="F557" s="222">
        <v>0</v>
      </c>
      <c r="G557" s="223">
        <f>E557*F557</f>
        <v>0</v>
      </c>
      <c r="O557" s="268">
        <v>2</v>
      </c>
      <c r="AA557" s="266">
        <v>8</v>
      </c>
      <c r="AB557" s="266">
        <v>0</v>
      </c>
      <c r="AC557" s="266">
        <v>3</v>
      </c>
      <c r="AZ557" s="266">
        <v>1</v>
      </c>
      <c r="BA557" s="266">
        <f>IF(AZ557=1,G557,0)</f>
        <v>0</v>
      </c>
      <c r="BB557" s="266">
        <f>IF(AZ557=2,G557,0)</f>
        <v>0</v>
      </c>
      <c r="BC557" s="266">
        <f>IF(AZ557=3,G557,0)</f>
        <v>0</v>
      </c>
      <c r="BD557" s="266">
        <f>IF(AZ557=4,G557,0)</f>
        <v>0</v>
      </c>
      <c r="BE557" s="266">
        <f>IF(AZ557=5,G557,0)</f>
        <v>0</v>
      </c>
      <c r="CA557" s="268">
        <v>8</v>
      </c>
      <c r="CB557" s="268">
        <v>0</v>
      </c>
      <c r="CZ557" s="266">
        <v>0</v>
      </c>
    </row>
    <row r="558" spans="1:104" ht="12.75">
      <c r="A558" s="218">
        <v>128</v>
      </c>
      <c r="B558" s="219" t="s">
        <v>270</v>
      </c>
      <c r="C558" s="220" t="s">
        <v>271</v>
      </c>
      <c r="D558" s="221" t="s">
        <v>166</v>
      </c>
      <c r="E558" s="222">
        <v>33.18084</v>
      </c>
      <c r="F558" s="222">
        <v>0</v>
      </c>
      <c r="G558" s="223">
        <f>E558*F558</f>
        <v>0</v>
      </c>
      <c r="O558" s="268">
        <v>2</v>
      </c>
      <c r="AA558" s="266">
        <v>8</v>
      </c>
      <c r="AB558" s="266">
        <v>0</v>
      </c>
      <c r="AC558" s="266">
        <v>3</v>
      </c>
      <c r="AZ558" s="266">
        <v>1</v>
      </c>
      <c r="BA558" s="266">
        <f>IF(AZ558=1,G558,0)</f>
        <v>0</v>
      </c>
      <c r="BB558" s="266">
        <f>IF(AZ558=2,G558,0)</f>
        <v>0</v>
      </c>
      <c r="BC558" s="266">
        <f>IF(AZ558=3,G558,0)</f>
        <v>0</v>
      </c>
      <c r="BD558" s="266">
        <f>IF(AZ558=4,G558,0)</f>
        <v>0</v>
      </c>
      <c r="BE558" s="266">
        <f>IF(AZ558=5,G558,0)</f>
        <v>0</v>
      </c>
      <c r="CA558" s="268">
        <v>8</v>
      </c>
      <c r="CB558" s="268">
        <v>0</v>
      </c>
      <c r="CZ558" s="266">
        <v>0</v>
      </c>
    </row>
    <row r="559" spans="1:104" ht="12.75">
      <c r="A559" s="218">
        <v>129</v>
      </c>
      <c r="B559" s="219" t="s">
        <v>272</v>
      </c>
      <c r="C559" s="220" t="s">
        <v>273</v>
      </c>
      <c r="D559" s="221" t="s">
        <v>166</v>
      </c>
      <c r="E559" s="222">
        <v>3.68676</v>
      </c>
      <c r="F559" s="222">
        <v>0</v>
      </c>
      <c r="G559" s="223">
        <f>E559*F559</f>
        <v>0</v>
      </c>
      <c r="O559" s="268">
        <v>2</v>
      </c>
      <c r="AA559" s="266">
        <v>8</v>
      </c>
      <c r="AB559" s="266">
        <v>0</v>
      </c>
      <c r="AC559" s="266">
        <v>3</v>
      </c>
      <c r="AZ559" s="266">
        <v>1</v>
      </c>
      <c r="BA559" s="266">
        <f>IF(AZ559=1,G559,0)</f>
        <v>0</v>
      </c>
      <c r="BB559" s="266">
        <f>IF(AZ559=2,G559,0)</f>
        <v>0</v>
      </c>
      <c r="BC559" s="266">
        <f>IF(AZ559=3,G559,0)</f>
        <v>0</v>
      </c>
      <c r="BD559" s="266">
        <f>IF(AZ559=4,G559,0)</f>
        <v>0</v>
      </c>
      <c r="BE559" s="266">
        <f>IF(AZ559=5,G559,0)</f>
        <v>0</v>
      </c>
      <c r="CA559" s="268">
        <v>8</v>
      </c>
      <c r="CB559" s="268">
        <v>0</v>
      </c>
      <c r="CZ559" s="266">
        <v>0</v>
      </c>
    </row>
    <row r="560" spans="1:104" ht="12.75">
      <c r="A560" s="218">
        <v>130</v>
      </c>
      <c r="B560" s="219" t="s">
        <v>274</v>
      </c>
      <c r="C560" s="220" t="s">
        <v>275</v>
      </c>
      <c r="D560" s="221" t="s">
        <v>166</v>
      </c>
      <c r="E560" s="222">
        <v>11.06028</v>
      </c>
      <c r="F560" s="222">
        <v>0</v>
      </c>
      <c r="G560" s="223">
        <f>E560*F560</f>
        <v>0</v>
      </c>
      <c r="O560" s="268">
        <v>2</v>
      </c>
      <c r="AA560" s="266">
        <v>8</v>
      </c>
      <c r="AB560" s="266">
        <v>0</v>
      </c>
      <c r="AC560" s="266">
        <v>3</v>
      </c>
      <c r="AZ560" s="266">
        <v>1</v>
      </c>
      <c r="BA560" s="266">
        <f>IF(AZ560=1,G560,0)</f>
        <v>0</v>
      </c>
      <c r="BB560" s="266">
        <f>IF(AZ560=2,G560,0)</f>
        <v>0</v>
      </c>
      <c r="BC560" s="266">
        <f>IF(AZ560=3,G560,0)</f>
        <v>0</v>
      </c>
      <c r="BD560" s="266">
        <f>IF(AZ560=4,G560,0)</f>
        <v>0</v>
      </c>
      <c r="BE560" s="266">
        <f>IF(AZ560=5,G560,0)</f>
        <v>0</v>
      </c>
      <c r="CA560" s="268">
        <v>8</v>
      </c>
      <c r="CB560" s="268">
        <v>0</v>
      </c>
      <c r="CZ560" s="266">
        <v>0</v>
      </c>
    </row>
    <row r="561" spans="1:104" ht="12.75">
      <c r="A561" s="218">
        <v>131</v>
      </c>
      <c r="B561" s="219" t="s">
        <v>1033</v>
      </c>
      <c r="C561" s="220" t="s">
        <v>1034</v>
      </c>
      <c r="D561" s="221" t="s">
        <v>166</v>
      </c>
      <c r="E561" s="222">
        <v>3.68676</v>
      </c>
      <c r="F561" s="222">
        <v>0</v>
      </c>
      <c r="G561" s="223">
        <f>E561*F561</f>
        <v>0</v>
      </c>
      <c r="O561" s="268">
        <v>2</v>
      </c>
      <c r="AA561" s="266">
        <v>8</v>
      </c>
      <c r="AB561" s="266">
        <v>0</v>
      </c>
      <c r="AC561" s="266">
        <v>3</v>
      </c>
      <c r="AZ561" s="266">
        <v>1</v>
      </c>
      <c r="BA561" s="266">
        <f>IF(AZ561=1,G561,0)</f>
        <v>0</v>
      </c>
      <c r="BB561" s="266">
        <f>IF(AZ561=2,G561,0)</f>
        <v>0</v>
      </c>
      <c r="BC561" s="266">
        <f>IF(AZ561=3,G561,0)</f>
        <v>0</v>
      </c>
      <c r="BD561" s="266">
        <f>IF(AZ561=4,G561,0)</f>
        <v>0</v>
      </c>
      <c r="BE561" s="266">
        <f>IF(AZ561=5,G561,0)</f>
        <v>0</v>
      </c>
      <c r="CA561" s="268">
        <v>8</v>
      </c>
      <c r="CB561" s="268">
        <v>0</v>
      </c>
      <c r="CZ561" s="266">
        <v>0</v>
      </c>
    </row>
    <row r="562" spans="1:57" ht="12.75">
      <c r="A562" s="236"/>
      <c r="B562" s="237" t="s">
        <v>175</v>
      </c>
      <c r="C562" s="238" t="str">
        <f>CONCATENATE(B556," ",C556)</f>
        <v>D96 Přesuny suti a vybouraných hmot</v>
      </c>
      <c r="D562" s="239"/>
      <c r="E562" s="240"/>
      <c r="F562" s="241"/>
      <c r="G562" s="242">
        <f>SUM(G556:G561)</f>
        <v>0</v>
      </c>
      <c r="O562" s="268">
        <v>4</v>
      </c>
      <c r="BA562" s="269">
        <f>SUM(BA556:BA561)</f>
        <v>0</v>
      </c>
      <c r="BB562" s="269">
        <f>SUM(BB556:BB561)</f>
        <v>0</v>
      </c>
      <c r="BC562" s="269">
        <f>SUM(BC556:BC561)</f>
        <v>0</v>
      </c>
      <c r="BD562" s="269">
        <f>SUM(BD556:BD561)</f>
        <v>0</v>
      </c>
      <c r="BE562" s="269">
        <f>SUM(BE556:BE561)</f>
        <v>0</v>
      </c>
    </row>
    <row r="563" ht="12.75">
      <c r="E563" s="266"/>
    </row>
    <row r="564" ht="12.75">
      <c r="E564" s="266"/>
    </row>
    <row r="565" ht="12.75">
      <c r="E565" s="266"/>
    </row>
    <row r="566" ht="12.75">
      <c r="E566" s="266"/>
    </row>
    <row r="567" ht="12.75">
      <c r="E567" s="266"/>
    </row>
    <row r="568" ht="12.75">
      <c r="E568" s="266"/>
    </row>
    <row r="569" ht="12.75">
      <c r="E569" s="266"/>
    </row>
    <row r="570" ht="12.75">
      <c r="E570" s="266"/>
    </row>
    <row r="571" ht="12.75">
      <c r="E571" s="266"/>
    </row>
    <row r="572" ht="12.75">
      <c r="E572" s="266"/>
    </row>
    <row r="573" ht="12.75">
      <c r="E573" s="266"/>
    </row>
    <row r="574" ht="12.75">
      <c r="E574" s="266"/>
    </row>
    <row r="575" ht="12.75">
      <c r="E575" s="266"/>
    </row>
    <row r="576" ht="12.75">
      <c r="E576" s="266"/>
    </row>
    <row r="577" ht="12.75">
      <c r="E577" s="266"/>
    </row>
    <row r="578" ht="12.75">
      <c r="E578" s="266"/>
    </row>
    <row r="579" ht="12.75">
      <c r="E579" s="266"/>
    </row>
    <row r="580" ht="12.75">
      <c r="E580" s="266"/>
    </row>
    <row r="581" ht="12.75">
      <c r="E581" s="266"/>
    </row>
    <row r="582" ht="12.75">
      <c r="E582" s="266"/>
    </row>
    <row r="583" ht="12.75">
      <c r="E583" s="266"/>
    </row>
    <row r="584" ht="12.75">
      <c r="E584" s="266"/>
    </row>
    <row r="585" ht="12.75">
      <c r="E585" s="266"/>
    </row>
    <row r="586" spans="1:7" ht="12.75">
      <c r="A586" s="270"/>
      <c r="B586" s="270"/>
      <c r="C586" s="270"/>
      <c r="D586" s="270"/>
      <c r="E586" s="270"/>
      <c r="F586" s="270"/>
      <c r="G586" s="270"/>
    </row>
    <row r="587" spans="1:7" ht="12.75">
      <c r="A587" s="270"/>
      <c r="B587" s="270"/>
      <c r="C587" s="270"/>
      <c r="D587" s="270"/>
      <c r="E587" s="270"/>
      <c r="F587" s="270"/>
      <c r="G587" s="270"/>
    </row>
    <row r="588" spans="1:7" ht="12.75">
      <c r="A588" s="270"/>
      <c r="B588" s="270"/>
      <c r="C588" s="270"/>
      <c r="D588" s="270"/>
      <c r="E588" s="270"/>
      <c r="F588" s="270"/>
      <c r="G588" s="270"/>
    </row>
    <row r="589" spans="1:7" ht="12.75">
      <c r="A589" s="270"/>
      <c r="B589" s="270"/>
      <c r="C589" s="270"/>
      <c r="D589" s="270"/>
      <c r="E589" s="270"/>
      <c r="F589" s="270"/>
      <c r="G589" s="270"/>
    </row>
    <row r="590" ht="12.75">
      <c r="E590" s="266"/>
    </row>
    <row r="591" ht="12.75">
      <c r="E591" s="266"/>
    </row>
    <row r="592" ht="12.75">
      <c r="E592" s="266"/>
    </row>
    <row r="593" ht="12.75">
      <c r="E593" s="266"/>
    </row>
    <row r="594" ht="12.75">
      <c r="E594" s="266"/>
    </row>
    <row r="595" ht="12.75">
      <c r="E595" s="266"/>
    </row>
    <row r="596" ht="12.75">
      <c r="E596" s="266"/>
    </row>
    <row r="597" ht="12.75">
      <c r="E597" s="266"/>
    </row>
    <row r="598" ht="12.75">
      <c r="E598" s="266"/>
    </row>
    <row r="599" ht="12.75">
      <c r="E599" s="266"/>
    </row>
    <row r="600" ht="12.75">
      <c r="E600" s="266"/>
    </row>
    <row r="601" ht="12.75">
      <c r="E601" s="266"/>
    </row>
    <row r="602" ht="12.75">
      <c r="E602" s="266"/>
    </row>
    <row r="603" ht="12.75">
      <c r="E603" s="266"/>
    </row>
    <row r="604" ht="12.75">
      <c r="E604" s="266"/>
    </row>
    <row r="605" ht="12.75">
      <c r="E605" s="266"/>
    </row>
    <row r="606" ht="12.75">
      <c r="E606" s="266"/>
    </row>
    <row r="607" ht="12.75">
      <c r="E607" s="266"/>
    </row>
    <row r="608" ht="12.75">
      <c r="E608" s="266"/>
    </row>
    <row r="609" ht="12.75">
      <c r="E609" s="266"/>
    </row>
    <row r="610" ht="12.75">
      <c r="E610" s="266"/>
    </row>
    <row r="611" ht="12.75">
      <c r="E611" s="266"/>
    </row>
    <row r="612" ht="12.75">
      <c r="E612" s="266"/>
    </row>
    <row r="613" ht="12.75">
      <c r="E613" s="266"/>
    </row>
    <row r="614" ht="12.75">
      <c r="E614" s="266"/>
    </row>
    <row r="615" ht="12.75">
      <c r="E615" s="266"/>
    </row>
    <row r="616" ht="12.75">
      <c r="E616" s="266"/>
    </row>
    <row r="617" ht="12.75">
      <c r="E617" s="266"/>
    </row>
    <row r="618" ht="12.75">
      <c r="E618" s="266"/>
    </row>
    <row r="619" ht="12.75">
      <c r="E619" s="266"/>
    </row>
    <row r="620" ht="12.75">
      <c r="E620" s="266"/>
    </row>
    <row r="621" spans="1:2" ht="12.75">
      <c r="A621" s="271"/>
      <c r="B621" s="271"/>
    </row>
    <row r="622" spans="1:7" ht="12.75">
      <c r="A622" s="270"/>
      <c r="B622" s="270"/>
      <c r="C622" s="273"/>
      <c r="D622" s="273"/>
      <c r="E622" s="274"/>
      <c r="F622" s="273"/>
      <c r="G622" s="275"/>
    </row>
    <row r="623" spans="1:7" ht="12.75">
      <c r="A623" s="276"/>
      <c r="B623" s="276"/>
      <c r="C623" s="270"/>
      <c r="D623" s="270"/>
      <c r="E623" s="277"/>
      <c r="F623" s="270"/>
      <c r="G623" s="270"/>
    </row>
    <row r="624" spans="1:7" ht="12.75">
      <c r="A624" s="270"/>
      <c r="B624" s="270"/>
      <c r="C624" s="270"/>
      <c r="D624" s="270"/>
      <c r="E624" s="277"/>
      <c r="F624" s="270"/>
      <c r="G624" s="270"/>
    </row>
    <row r="625" spans="1:7" ht="12.75">
      <c r="A625" s="270"/>
      <c r="B625" s="270"/>
      <c r="C625" s="270"/>
      <c r="D625" s="270"/>
      <c r="E625" s="277"/>
      <c r="F625" s="270"/>
      <c r="G625" s="270"/>
    </row>
    <row r="626" spans="1:7" ht="12.75">
      <c r="A626" s="270"/>
      <c r="B626" s="270"/>
      <c r="C626" s="270"/>
      <c r="D626" s="270"/>
      <c r="E626" s="277"/>
      <c r="F626" s="270"/>
      <c r="G626" s="270"/>
    </row>
    <row r="627" spans="1:7" ht="12.75">
      <c r="A627" s="270"/>
      <c r="B627" s="270"/>
      <c r="C627" s="270"/>
      <c r="D627" s="270"/>
      <c r="E627" s="277"/>
      <c r="F627" s="270"/>
      <c r="G627" s="270"/>
    </row>
    <row r="628" spans="1:7" ht="12.75">
      <c r="A628" s="270"/>
      <c r="B628" s="270"/>
      <c r="C628" s="270"/>
      <c r="D628" s="270"/>
      <c r="E628" s="277"/>
      <c r="F628" s="270"/>
      <c r="G628" s="270"/>
    </row>
    <row r="629" spans="1:7" ht="12.75">
      <c r="A629" s="270"/>
      <c r="B629" s="270"/>
      <c r="C629" s="270"/>
      <c r="D629" s="270"/>
      <c r="E629" s="277"/>
      <c r="F629" s="270"/>
      <c r="G629" s="270"/>
    </row>
    <row r="630" spans="1:7" ht="12.75">
      <c r="A630" s="270"/>
      <c r="B630" s="270"/>
      <c r="C630" s="270"/>
      <c r="D630" s="270"/>
      <c r="E630" s="277"/>
      <c r="F630" s="270"/>
      <c r="G630" s="270"/>
    </row>
    <row r="631" spans="1:7" ht="12.75">
      <c r="A631" s="270"/>
      <c r="B631" s="270"/>
      <c r="C631" s="270"/>
      <c r="D631" s="270"/>
      <c r="E631" s="277"/>
      <c r="F631" s="270"/>
      <c r="G631" s="270"/>
    </row>
    <row r="632" spans="1:7" ht="12.75">
      <c r="A632" s="270"/>
      <c r="B632" s="270"/>
      <c r="C632" s="270"/>
      <c r="D632" s="270"/>
      <c r="E632" s="277"/>
      <c r="F632" s="270"/>
      <c r="G632" s="270"/>
    </row>
    <row r="633" spans="1:7" ht="12.75">
      <c r="A633" s="270"/>
      <c r="B633" s="270"/>
      <c r="C633" s="270"/>
      <c r="D633" s="270"/>
      <c r="E633" s="277"/>
      <c r="F633" s="270"/>
      <c r="G633" s="270"/>
    </row>
    <row r="634" spans="1:7" ht="12.75">
      <c r="A634" s="270"/>
      <c r="B634" s="270"/>
      <c r="C634" s="270"/>
      <c r="D634" s="270"/>
      <c r="E634" s="277"/>
      <c r="F634" s="270"/>
      <c r="G634" s="270"/>
    </row>
    <row r="635" spans="1:7" ht="12.75">
      <c r="A635" s="270"/>
      <c r="B635" s="270"/>
      <c r="C635" s="270"/>
      <c r="D635" s="270"/>
      <c r="E635" s="277"/>
      <c r="F635" s="270"/>
      <c r="G635" s="270"/>
    </row>
  </sheetData>
  <mergeCells count="383">
    <mergeCell ref="C550:D550"/>
    <mergeCell ref="C551:D551"/>
    <mergeCell ref="C552:D552"/>
    <mergeCell ref="C553:D553"/>
    <mergeCell ref="C554:D554"/>
    <mergeCell ref="C544:D544"/>
    <mergeCell ref="C545:D545"/>
    <mergeCell ref="C546:D546"/>
    <mergeCell ref="C547:D547"/>
    <mergeCell ref="C548:D548"/>
    <mergeCell ref="C549:D549"/>
    <mergeCell ref="C537:D537"/>
    <mergeCell ref="C538:D538"/>
    <mergeCell ref="C539:D539"/>
    <mergeCell ref="C540:D540"/>
    <mergeCell ref="C541:D541"/>
    <mergeCell ref="C542:D542"/>
    <mergeCell ref="C527:D527"/>
    <mergeCell ref="C532:D532"/>
    <mergeCell ref="C533:D533"/>
    <mergeCell ref="C534:D534"/>
    <mergeCell ref="C535:D535"/>
    <mergeCell ref="C536:D536"/>
    <mergeCell ref="C521:D521"/>
    <mergeCell ref="C522:D522"/>
    <mergeCell ref="C523:D523"/>
    <mergeCell ref="C524:D524"/>
    <mergeCell ref="C525:D525"/>
    <mergeCell ref="C526:D526"/>
    <mergeCell ref="C514:D514"/>
    <mergeCell ref="C515:D515"/>
    <mergeCell ref="C516:D516"/>
    <mergeCell ref="C518:D518"/>
    <mergeCell ref="C519:D519"/>
    <mergeCell ref="C520:D520"/>
    <mergeCell ref="C504:D504"/>
    <mergeCell ref="C505:D505"/>
    <mergeCell ref="C510:D510"/>
    <mergeCell ref="C511:D511"/>
    <mergeCell ref="C512:D512"/>
    <mergeCell ref="C513:D513"/>
    <mergeCell ref="C497:D497"/>
    <mergeCell ref="C498:D498"/>
    <mergeCell ref="C499:D499"/>
    <mergeCell ref="C500:D500"/>
    <mergeCell ref="C501:D501"/>
    <mergeCell ref="C503:D503"/>
    <mergeCell ref="C490:D490"/>
    <mergeCell ref="C491:D491"/>
    <mergeCell ref="C493:D493"/>
    <mergeCell ref="C494:D494"/>
    <mergeCell ref="C495:D495"/>
    <mergeCell ref="C496:D496"/>
    <mergeCell ref="C483:D483"/>
    <mergeCell ref="C484:D484"/>
    <mergeCell ref="C485:D485"/>
    <mergeCell ref="C486:D486"/>
    <mergeCell ref="C487:D487"/>
    <mergeCell ref="C488:D488"/>
    <mergeCell ref="C474:D474"/>
    <mergeCell ref="C475:D475"/>
    <mergeCell ref="C479:D479"/>
    <mergeCell ref="C480:D480"/>
    <mergeCell ref="C481:D481"/>
    <mergeCell ref="C482:D482"/>
    <mergeCell ref="C466:D466"/>
    <mergeCell ref="C467:D467"/>
    <mergeCell ref="C469:D469"/>
    <mergeCell ref="C470:D470"/>
    <mergeCell ref="C471:D471"/>
    <mergeCell ref="C472:D472"/>
    <mergeCell ref="C457:D457"/>
    <mergeCell ref="C458:D458"/>
    <mergeCell ref="C460:D460"/>
    <mergeCell ref="C462:D462"/>
    <mergeCell ref="C463:D463"/>
    <mergeCell ref="C464:D464"/>
    <mergeCell ref="C450:D450"/>
    <mergeCell ref="C451:D451"/>
    <mergeCell ref="C452:D452"/>
    <mergeCell ref="C453:D453"/>
    <mergeCell ref="C454:D454"/>
    <mergeCell ref="C456:D456"/>
    <mergeCell ref="C435:D435"/>
    <mergeCell ref="C436:D436"/>
    <mergeCell ref="C445:D445"/>
    <mergeCell ref="C446:D446"/>
    <mergeCell ref="C447:D447"/>
    <mergeCell ref="C448:D448"/>
    <mergeCell ref="C423:D423"/>
    <mergeCell ref="C424:D424"/>
    <mergeCell ref="C425:D425"/>
    <mergeCell ref="C429:D429"/>
    <mergeCell ref="C431:D431"/>
    <mergeCell ref="C433:D433"/>
    <mergeCell ref="C416:D416"/>
    <mergeCell ref="C417:D417"/>
    <mergeCell ref="C418:D418"/>
    <mergeCell ref="C419:D419"/>
    <mergeCell ref="C420:D420"/>
    <mergeCell ref="C422:D422"/>
    <mergeCell ref="C409:D409"/>
    <mergeCell ref="C410:D410"/>
    <mergeCell ref="C411:D411"/>
    <mergeCell ref="C413:D413"/>
    <mergeCell ref="C414:D414"/>
    <mergeCell ref="C415:D415"/>
    <mergeCell ref="C398:D398"/>
    <mergeCell ref="C400:D400"/>
    <mergeCell ref="C401:D401"/>
    <mergeCell ref="C406:D406"/>
    <mergeCell ref="C407:D407"/>
    <mergeCell ref="C408:D408"/>
    <mergeCell ref="C385:D385"/>
    <mergeCell ref="C387:D387"/>
    <mergeCell ref="C388:D388"/>
    <mergeCell ref="C390:D390"/>
    <mergeCell ref="C391:D391"/>
    <mergeCell ref="C393:D393"/>
    <mergeCell ref="C373:D373"/>
    <mergeCell ref="C374:D374"/>
    <mergeCell ref="C375:D375"/>
    <mergeCell ref="C377:D377"/>
    <mergeCell ref="C379:D379"/>
    <mergeCell ref="C381:D381"/>
    <mergeCell ref="C360:D360"/>
    <mergeCell ref="C361:D361"/>
    <mergeCell ref="C363:D363"/>
    <mergeCell ref="C364:D364"/>
    <mergeCell ref="C369:D369"/>
    <mergeCell ref="C371:D371"/>
    <mergeCell ref="C351:D351"/>
    <mergeCell ref="C352:D352"/>
    <mergeCell ref="C353:D353"/>
    <mergeCell ref="C355:D355"/>
    <mergeCell ref="C356:D356"/>
    <mergeCell ref="C358:D358"/>
    <mergeCell ref="C343:D343"/>
    <mergeCell ref="C344:D344"/>
    <mergeCell ref="C345:D345"/>
    <mergeCell ref="C346:D346"/>
    <mergeCell ref="C347:D347"/>
    <mergeCell ref="C349:D349"/>
    <mergeCell ref="C335:D335"/>
    <mergeCell ref="C336:D336"/>
    <mergeCell ref="C338:D338"/>
    <mergeCell ref="C339:D339"/>
    <mergeCell ref="C341:D341"/>
    <mergeCell ref="C342:D342"/>
    <mergeCell ref="C324:D324"/>
    <mergeCell ref="C325:D325"/>
    <mergeCell ref="C326:D326"/>
    <mergeCell ref="C327:D327"/>
    <mergeCell ref="C328:D328"/>
    <mergeCell ref="C330:D330"/>
    <mergeCell ref="C318:D318"/>
    <mergeCell ref="C319:D319"/>
    <mergeCell ref="C320:D320"/>
    <mergeCell ref="C321:D321"/>
    <mergeCell ref="C322:D322"/>
    <mergeCell ref="C323:D323"/>
    <mergeCell ref="C311:D311"/>
    <mergeCell ref="C312:D312"/>
    <mergeCell ref="C313:D313"/>
    <mergeCell ref="C314:D314"/>
    <mergeCell ref="C315:D315"/>
    <mergeCell ref="C317:D317"/>
    <mergeCell ref="C303:D303"/>
    <mergeCell ref="C305:D305"/>
    <mergeCell ref="C307:D307"/>
    <mergeCell ref="C308:D308"/>
    <mergeCell ref="C309:D309"/>
    <mergeCell ref="C310:D310"/>
    <mergeCell ref="C297:D297"/>
    <mergeCell ref="C298:D298"/>
    <mergeCell ref="C299:D299"/>
    <mergeCell ref="C300:D300"/>
    <mergeCell ref="C301:D301"/>
    <mergeCell ref="C302:D302"/>
    <mergeCell ref="C286:D286"/>
    <mergeCell ref="C287:D287"/>
    <mergeCell ref="C289:D289"/>
    <mergeCell ref="C290:D290"/>
    <mergeCell ref="C295:D295"/>
    <mergeCell ref="C296:D296"/>
    <mergeCell ref="C280:D280"/>
    <mergeCell ref="C281:D281"/>
    <mergeCell ref="C282:D282"/>
    <mergeCell ref="C283:D283"/>
    <mergeCell ref="C284:D284"/>
    <mergeCell ref="C285:D285"/>
    <mergeCell ref="C273:D273"/>
    <mergeCell ref="C274:D274"/>
    <mergeCell ref="C275:D275"/>
    <mergeCell ref="C276:D276"/>
    <mergeCell ref="C277:D277"/>
    <mergeCell ref="C279:D279"/>
    <mergeCell ref="C266:D266"/>
    <mergeCell ref="C267:D267"/>
    <mergeCell ref="C269:D269"/>
    <mergeCell ref="C270:D270"/>
    <mergeCell ref="C271:D271"/>
    <mergeCell ref="C272:D272"/>
    <mergeCell ref="C260:D260"/>
    <mergeCell ref="C261:D261"/>
    <mergeCell ref="C262:D262"/>
    <mergeCell ref="C263:D263"/>
    <mergeCell ref="C264:D264"/>
    <mergeCell ref="C265:D265"/>
    <mergeCell ref="C252:D252"/>
    <mergeCell ref="C253:D253"/>
    <mergeCell ref="C254:D254"/>
    <mergeCell ref="C256:D256"/>
    <mergeCell ref="C257:D257"/>
    <mergeCell ref="C259:D259"/>
    <mergeCell ref="C243:D243"/>
    <mergeCell ref="C244:D244"/>
    <mergeCell ref="C245:D245"/>
    <mergeCell ref="C247:D247"/>
    <mergeCell ref="C248:D248"/>
    <mergeCell ref="C250:D250"/>
    <mergeCell ref="C230:D230"/>
    <mergeCell ref="C232:D232"/>
    <mergeCell ref="C233:D233"/>
    <mergeCell ref="C234:D234"/>
    <mergeCell ref="C235:D235"/>
    <mergeCell ref="C236:D236"/>
    <mergeCell ref="C221:D221"/>
    <mergeCell ref="C222:D222"/>
    <mergeCell ref="C223:D223"/>
    <mergeCell ref="C224:D224"/>
    <mergeCell ref="C225:D225"/>
    <mergeCell ref="C229:D229"/>
    <mergeCell ref="C213:D213"/>
    <mergeCell ref="C215:D215"/>
    <mergeCell ref="C217:D217"/>
    <mergeCell ref="C218:D218"/>
    <mergeCell ref="C219:D219"/>
    <mergeCell ref="C220:D220"/>
    <mergeCell ref="C200:D200"/>
    <mergeCell ref="C202:D202"/>
    <mergeCell ref="C206:D206"/>
    <mergeCell ref="C207:D207"/>
    <mergeCell ref="C208:D208"/>
    <mergeCell ref="C209:D209"/>
    <mergeCell ref="C189:D189"/>
    <mergeCell ref="C190:D190"/>
    <mergeCell ref="C194:D194"/>
    <mergeCell ref="C195:D195"/>
    <mergeCell ref="C196:D196"/>
    <mergeCell ref="C198:D198"/>
    <mergeCell ref="C182:D182"/>
    <mergeCell ref="C183:D183"/>
    <mergeCell ref="C184:D184"/>
    <mergeCell ref="C186:D186"/>
    <mergeCell ref="C187:D187"/>
    <mergeCell ref="C188:D188"/>
    <mergeCell ref="C172:D172"/>
    <mergeCell ref="C173:D173"/>
    <mergeCell ref="C174:D174"/>
    <mergeCell ref="C175:D175"/>
    <mergeCell ref="C176:D176"/>
    <mergeCell ref="C181:D181"/>
    <mergeCell ref="C165:D165"/>
    <mergeCell ref="C166:D166"/>
    <mergeCell ref="C168:D168"/>
    <mergeCell ref="C169:D169"/>
    <mergeCell ref="C170:D170"/>
    <mergeCell ref="C171:D171"/>
    <mergeCell ref="C158:D158"/>
    <mergeCell ref="C159:D159"/>
    <mergeCell ref="C161:D161"/>
    <mergeCell ref="C162:D162"/>
    <mergeCell ref="C163:D163"/>
    <mergeCell ref="C164:D164"/>
    <mergeCell ref="C151:D151"/>
    <mergeCell ref="C152:D152"/>
    <mergeCell ref="C154:D154"/>
    <mergeCell ref="C155:D155"/>
    <mergeCell ref="C156:D156"/>
    <mergeCell ref="C157:D157"/>
    <mergeCell ref="C140:D140"/>
    <mergeCell ref="C143:D143"/>
    <mergeCell ref="C147:D147"/>
    <mergeCell ref="C148:D148"/>
    <mergeCell ref="C149:D149"/>
    <mergeCell ref="C150:D150"/>
    <mergeCell ref="C132:D132"/>
    <mergeCell ref="C134:D134"/>
    <mergeCell ref="C135:D135"/>
    <mergeCell ref="C136:D136"/>
    <mergeCell ref="C138:D138"/>
    <mergeCell ref="C139:D139"/>
    <mergeCell ref="C124:D124"/>
    <mergeCell ref="C125:D125"/>
    <mergeCell ref="C126:D126"/>
    <mergeCell ref="C127:D127"/>
    <mergeCell ref="C129:D129"/>
    <mergeCell ref="C131:D131"/>
    <mergeCell ref="C117:D117"/>
    <mergeCell ref="C118:D118"/>
    <mergeCell ref="C120:D120"/>
    <mergeCell ref="C121:D121"/>
    <mergeCell ref="C122:D122"/>
    <mergeCell ref="C123:D123"/>
    <mergeCell ref="C108:D108"/>
    <mergeCell ref="C109:D109"/>
    <mergeCell ref="C110:D110"/>
    <mergeCell ref="C111:D111"/>
    <mergeCell ref="C112:D112"/>
    <mergeCell ref="C116:D116"/>
    <mergeCell ref="C101:D101"/>
    <mergeCell ref="C102:D102"/>
    <mergeCell ref="C103:D103"/>
    <mergeCell ref="C104:D104"/>
    <mergeCell ref="C105:D105"/>
    <mergeCell ref="C107:D107"/>
    <mergeCell ref="C94:D94"/>
    <mergeCell ref="C95:D95"/>
    <mergeCell ref="C96:D96"/>
    <mergeCell ref="C97:D97"/>
    <mergeCell ref="C98:D98"/>
    <mergeCell ref="C100:D100"/>
    <mergeCell ref="C85:D85"/>
    <mergeCell ref="C87:D87"/>
    <mergeCell ref="C88:D88"/>
    <mergeCell ref="C89:D89"/>
    <mergeCell ref="C91:D91"/>
    <mergeCell ref="C92:D92"/>
    <mergeCell ref="C78:D78"/>
    <mergeCell ref="C80:D80"/>
    <mergeCell ref="C81:D81"/>
    <mergeCell ref="C82:D82"/>
    <mergeCell ref="C83:D83"/>
    <mergeCell ref="C84:D84"/>
    <mergeCell ref="C65:D65"/>
    <mergeCell ref="C68:D68"/>
    <mergeCell ref="C70:D70"/>
    <mergeCell ref="C71:D71"/>
    <mergeCell ref="C75:D75"/>
    <mergeCell ref="C76:D76"/>
    <mergeCell ref="C57:D57"/>
    <mergeCell ref="C59:D59"/>
    <mergeCell ref="C60:D60"/>
    <mergeCell ref="C61:D61"/>
    <mergeCell ref="C62:D62"/>
    <mergeCell ref="C64:D64"/>
    <mergeCell ref="C46:D46"/>
    <mergeCell ref="C50:D50"/>
    <mergeCell ref="C51:D51"/>
    <mergeCell ref="C53:D53"/>
    <mergeCell ref="C54:D54"/>
    <mergeCell ref="C56:D56"/>
    <mergeCell ref="C37:D37"/>
    <mergeCell ref="C38:D38"/>
    <mergeCell ref="C42:D42"/>
    <mergeCell ref="C43:D43"/>
    <mergeCell ref="C44:D44"/>
    <mergeCell ref="C45:D45"/>
    <mergeCell ref="C28:D28"/>
    <mergeCell ref="C29:D29"/>
    <mergeCell ref="C30:D30"/>
    <mergeCell ref="C32:D32"/>
    <mergeCell ref="C34:G34"/>
    <mergeCell ref="C35:D35"/>
    <mergeCell ref="C20:D20"/>
    <mergeCell ref="C21:D21"/>
    <mergeCell ref="C22:D22"/>
    <mergeCell ref="C24:D24"/>
    <mergeCell ref="C25:D25"/>
    <mergeCell ref="C26:D26"/>
    <mergeCell ref="C12:D12"/>
    <mergeCell ref="C14:G14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77"/>
  <sheetViews>
    <sheetView workbookViewId="0" topLeftCell="A1">
      <selection activeCell="B24" sqref="B24"/>
    </sheetView>
  </sheetViews>
  <sheetFormatPr defaultColWidth="14.375" defaultRowHeight="12.75"/>
  <cols>
    <col min="1" max="1" width="10.50390625" style="682" customWidth="1"/>
    <col min="2" max="2" width="43.375" style="684" customWidth="1"/>
    <col min="3" max="3" width="4.625" style="684" customWidth="1"/>
    <col min="4" max="4" width="7.125" style="685" customWidth="1"/>
    <col min="5" max="5" width="10.875" style="685" customWidth="1"/>
    <col min="6" max="6" width="12.00390625" style="718" customWidth="1"/>
    <col min="7" max="16384" width="14.375" style="684" customWidth="1"/>
  </cols>
  <sheetData>
    <row r="1" spans="2:6" ht="15.6">
      <c r="B1" s="683" t="s">
        <v>1065</v>
      </c>
      <c r="F1" s="684"/>
    </row>
    <row r="2" spans="2:6" ht="12.75">
      <c r="B2" s="686"/>
      <c r="F2" s="684"/>
    </row>
    <row r="3" spans="2:6" ht="13.8">
      <c r="B3" s="687" t="s">
        <v>1066</v>
      </c>
      <c r="F3" s="684"/>
    </row>
    <row r="4" spans="2:6" ht="12.75">
      <c r="B4" s="686"/>
      <c r="F4" s="684"/>
    </row>
    <row r="5" spans="2:6" ht="13.2">
      <c r="B5" s="688" t="s">
        <v>1128</v>
      </c>
      <c r="F5" s="684"/>
    </row>
    <row r="6" spans="2:6" ht="12.75">
      <c r="B6" s="684" t="s">
        <v>1068</v>
      </c>
      <c r="D6" s="689"/>
      <c r="E6" s="690" t="s">
        <v>1450</v>
      </c>
      <c r="F6" s="684"/>
    </row>
    <row r="7" spans="1:7" ht="12.75">
      <c r="A7" s="691" t="s">
        <v>1070</v>
      </c>
      <c r="B7" s="692" t="s">
        <v>1071</v>
      </c>
      <c r="C7" s="692" t="s">
        <v>1072</v>
      </c>
      <c r="D7" s="693" t="s">
        <v>133</v>
      </c>
      <c r="E7" s="693" t="s">
        <v>1042</v>
      </c>
      <c r="F7" s="694" t="s">
        <v>1129</v>
      </c>
      <c r="G7" s="695"/>
    </row>
    <row r="8" spans="1:6" ht="12.75">
      <c r="A8" s="696"/>
      <c r="B8" s="697"/>
      <c r="C8" s="698"/>
      <c r="D8" s="699"/>
      <c r="E8" s="699"/>
      <c r="F8" s="700"/>
    </row>
    <row r="9" spans="1:6" s="703" customFormat="1" ht="12.75">
      <c r="A9" s="701" t="s">
        <v>1451</v>
      </c>
      <c r="B9" s="637" t="s">
        <v>2692</v>
      </c>
      <c r="C9" s="703" t="s">
        <v>231</v>
      </c>
      <c r="D9" s="704">
        <v>34</v>
      </c>
      <c r="E9" s="704"/>
      <c r="F9" s="705">
        <f aca="true" t="shared" si="0" ref="F9:F24">D9*E9</f>
        <v>0</v>
      </c>
    </row>
    <row r="10" spans="1:6" s="703" customFormat="1" ht="12.75">
      <c r="A10" s="701" t="s">
        <v>1452</v>
      </c>
      <c r="B10" s="637" t="s">
        <v>2693</v>
      </c>
      <c r="C10" s="703" t="s">
        <v>231</v>
      </c>
      <c r="D10" s="704">
        <v>8</v>
      </c>
      <c r="E10" s="704"/>
      <c r="F10" s="705">
        <f>D10*E10</f>
        <v>0</v>
      </c>
    </row>
    <row r="11" spans="1:6" s="703" customFormat="1" ht="12.75">
      <c r="A11" s="701" t="s">
        <v>1453</v>
      </c>
      <c r="B11" s="637" t="s">
        <v>2694</v>
      </c>
      <c r="C11" s="703" t="s">
        <v>231</v>
      </c>
      <c r="D11" s="704">
        <v>8</v>
      </c>
      <c r="E11" s="704"/>
      <c r="F11" s="705">
        <f>D11*E11</f>
        <v>0</v>
      </c>
    </row>
    <row r="12" spans="1:6" s="703" customFormat="1" ht="12.75">
      <c r="A12" s="701" t="s">
        <v>1454</v>
      </c>
      <c r="B12" s="647" t="s">
        <v>1101</v>
      </c>
      <c r="C12" s="703" t="s">
        <v>757</v>
      </c>
      <c r="D12" s="704">
        <v>30</v>
      </c>
      <c r="E12" s="704"/>
      <c r="F12" s="705">
        <f t="shared" si="0"/>
        <v>0</v>
      </c>
    </row>
    <row r="13" spans="1:6" s="703" customFormat="1" ht="12.75">
      <c r="A13" s="701" t="s">
        <v>1455</v>
      </c>
      <c r="B13" s="637" t="s">
        <v>2695</v>
      </c>
      <c r="C13" s="703" t="s">
        <v>231</v>
      </c>
      <c r="D13" s="704">
        <v>34</v>
      </c>
      <c r="E13" s="704"/>
      <c r="F13" s="705">
        <f t="shared" si="0"/>
        <v>0</v>
      </c>
    </row>
    <row r="14" spans="1:6" s="703" customFormat="1" ht="12.75">
      <c r="A14" s="701" t="s">
        <v>1456</v>
      </c>
      <c r="B14" s="637" t="s">
        <v>2696</v>
      </c>
      <c r="C14" s="703" t="s">
        <v>231</v>
      </c>
      <c r="D14" s="704">
        <v>8</v>
      </c>
      <c r="E14" s="704"/>
      <c r="F14" s="705">
        <f t="shared" si="0"/>
        <v>0</v>
      </c>
    </row>
    <row r="15" spans="1:6" s="703" customFormat="1" ht="12.75">
      <c r="A15" s="701" t="s">
        <v>1457</v>
      </c>
      <c r="B15" s="637" t="s">
        <v>2697</v>
      </c>
      <c r="C15" s="703" t="s">
        <v>231</v>
      </c>
      <c r="D15" s="704">
        <v>8</v>
      </c>
      <c r="E15" s="704"/>
      <c r="F15" s="705">
        <f>D15*E15</f>
        <v>0</v>
      </c>
    </row>
    <row r="16" spans="1:6" s="703" customFormat="1" ht="12.75">
      <c r="A16" s="701" t="s">
        <v>1458</v>
      </c>
      <c r="B16" s="637" t="s">
        <v>2698</v>
      </c>
      <c r="C16" s="703" t="s">
        <v>757</v>
      </c>
      <c r="D16" s="704">
        <v>2</v>
      </c>
      <c r="E16" s="704"/>
      <c r="F16" s="705">
        <f t="shared" si="0"/>
        <v>0</v>
      </c>
    </row>
    <row r="17" spans="1:6" s="703" customFormat="1" ht="12.75">
      <c r="A17" s="701" t="s">
        <v>1459</v>
      </c>
      <c r="B17" s="637" t="s">
        <v>2699</v>
      </c>
      <c r="C17" s="703" t="s">
        <v>757</v>
      </c>
      <c r="D17" s="704">
        <v>1</v>
      </c>
      <c r="E17" s="704"/>
      <c r="F17" s="705">
        <f t="shared" si="0"/>
        <v>0</v>
      </c>
    </row>
    <row r="18" spans="1:6" s="703" customFormat="1" ht="12.75">
      <c r="A18" s="701" t="s">
        <v>1460</v>
      </c>
      <c r="B18" s="637" t="s">
        <v>2700</v>
      </c>
      <c r="C18" s="703" t="s">
        <v>757</v>
      </c>
      <c r="D18" s="704">
        <v>2</v>
      </c>
      <c r="E18" s="704"/>
      <c r="F18" s="705">
        <f t="shared" si="0"/>
        <v>0</v>
      </c>
    </row>
    <row r="19" spans="1:6" s="703" customFormat="1" ht="12.75">
      <c r="A19" s="701" t="s">
        <v>1461</v>
      </c>
      <c r="B19" s="637" t="s">
        <v>2701</v>
      </c>
      <c r="C19" s="703" t="s">
        <v>757</v>
      </c>
      <c r="D19" s="704">
        <v>1</v>
      </c>
      <c r="E19" s="704"/>
      <c r="F19" s="705">
        <f t="shared" si="0"/>
        <v>0</v>
      </c>
    </row>
    <row r="20" spans="1:6" s="703" customFormat="1" ht="12.75">
      <c r="A20" s="701" t="s">
        <v>1462</v>
      </c>
      <c r="B20" s="637" t="s">
        <v>2702</v>
      </c>
      <c r="C20" s="703" t="s">
        <v>757</v>
      </c>
      <c r="D20" s="704">
        <v>1</v>
      </c>
      <c r="E20" s="704"/>
      <c r="F20" s="705">
        <f>D20*E20</f>
        <v>0</v>
      </c>
    </row>
    <row r="21" spans="1:6" s="703" customFormat="1" ht="12.75">
      <c r="A21" s="701" t="s">
        <v>1463</v>
      </c>
      <c r="B21" s="634" t="s">
        <v>2703</v>
      </c>
      <c r="C21" s="703" t="s">
        <v>757</v>
      </c>
      <c r="D21" s="704">
        <f>SUM(D16:D20)</f>
        <v>7</v>
      </c>
      <c r="E21" s="704"/>
      <c r="F21" s="705">
        <f t="shared" si="0"/>
        <v>0</v>
      </c>
    </row>
    <row r="22" spans="1:6" s="703" customFormat="1" ht="12.75">
      <c r="A22" s="701" t="s">
        <v>1464</v>
      </c>
      <c r="B22" s="637" t="s">
        <v>2704</v>
      </c>
      <c r="C22" s="703" t="s">
        <v>757</v>
      </c>
      <c r="D22" s="704">
        <f>SUM(D21)</f>
        <v>7</v>
      </c>
      <c r="E22" s="704"/>
      <c r="F22" s="705">
        <f t="shared" si="0"/>
        <v>0</v>
      </c>
    </row>
    <row r="23" spans="1:6" s="703" customFormat="1" ht="12.75">
      <c r="A23" s="701" t="s">
        <v>1465</v>
      </c>
      <c r="B23" s="637" t="s">
        <v>1140</v>
      </c>
      <c r="C23" s="703" t="s">
        <v>757</v>
      </c>
      <c r="D23" s="704">
        <v>7</v>
      </c>
      <c r="E23" s="704"/>
      <c r="F23" s="705">
        <f t="shared" si="0"/>
        <v>0</v>
      </c>
    </row>
    <row r="24" spans="1:6" s="703" customFormat="1" ht="60">
      <c r="A24" s="701" t="s">
        <v>1466</v>
      </c>
      <c r="B24" s="1287" t="s">
        <v>2705</v>
      </c>
      <c r="C24" s="703" t="s">
        <v>1096</v>
      </c>
      <c r="D24" s="704">
        <v>1</v>
      </c>
      <c r="E24" s="704"/>
      <c r="F24" s="705">
        <f t="shared" si="0"/>
        <v>0</v>
      </c>
    </row>
    <row r="25" spans="1:6" s="702" customFormat="1" ht="12.75">
      <c r="A25" s="701" t="s">
        <v>1467</v>
      </c>
      <c r="B25" s="702" t="s">
        <v>1148</v>
      </c>
      <c r="C25" s="702" t="s">
        <v>231</v>
      </c>
      <c r="D25" s="707">
        <f>SUM(D9:D11)</f>
        <v>50</v>
      </c>
      <c r="E25" s="707"/>
      <c r="F25" s="705">
        <f>D25*E25</f>
        <v>0</v>
      </c>
    </row>
    <row r="26" spans="1:6" s="702" customFormat="1" ht="12.75">
      <c r="A26" s="701" t="s">
        <v>1468</v>
      </c>
      <c r="B26" s="702" t="s">
        <v>1149</v>
      </c>
      <c r="C26" s="702" t="s">
        <v>757</v>
      </c>
      <c r="D26" s="707">
        <f>SUM(D16:D19)</f>
        <v>6</v>
      </c>
      <c r="E26" s="707"/>
      <c r="F26" s="705">
        <f>D26*E26</f>
        <v>0</v>
      </c>
    </row>
    <row r="27" spans="1:6" s="702" customFormat="1" ht="12.75">
      <c r="A27" s="701" t="s">
        <v>1469</v>
      </c>
      <c r="B27" s="702" t="s">
        <v>1150</v>
      </c>
      <c r="C27" s="702" t="s">
        <v>1096</v>
      </c>
      <c r="D27" s="707">
        <v>1</v>
      </c>
      <c r="E27" s="707"/>
      <c r="F27" s="705">
        <f>D27*E27</f>
        <v>0</v>
      </c>
    </row>
    <row r="28" spans="1:6" s="702" customFormat="1" ht="12.75">
      <c r="A28" s="701" t="s">
        <v>1470</v>
      </c>
      <c r="B28" s="702" t="s">
        <v>1093</v>
      </c>
      <c r="C28" s="702" t="s">
        <v>231</v>
      </c>
      <c r="D28" s="707">
        <f>SUM(D25)</f>
        <v>50</v>
      </c>
      <c r="E28" s="707"/>
      <c r="F28" s="705">
        <f>D28*E28</f>
        <v>0</v>
      </c>
    </row>
    <row r="29" spans="1:6" s="702" customFormat="1" ht="12.75">
      <c r="A29" s="701" t="s">
        <v>1471</v>
      </c>
      <c r="B29" s="708" t="s">
        <v>1095</v>
      </c>
      <c r="C29" s="702" t="s">
        <v>1096</v>
      </c>
      <c r="D29" s="707">
        <v>1</v>
      </c>
      <c r="E29" s="707"/>
      <c r="F29" s="705">
        <f>D29*E29</f>
        <v>0</v>
      </c>
    </row>
    <row r="30" spans="1:6" s="702" customFormat="1" ht="12.75">
      <c r="A30" s="696"/>
      <c r="D30" s="707"/>
      <c r="E30" s="707"/>
      <c r="F30" s="709"/>
    </row>
    <row r="31" spans="1:6" s="702" customFormat="1" ht="12.75">
      <c r="A31" s="696"/>
      <c r="D31" s="707"/>
      <c r="E31" s="707"/>
      <c r="F31" s="710">
        <f>SUM(F9:F30)</f>
        <v>0</v>
      </c>
    </row>
    <row r="32" spans="1:6" s="702" customFormat="1" ht="12.75">
      <c r="A32" s="696"/>
      <c r="D32" s="707"/>
      <c r="E32" s="707"/>
      <c r="F32" s="709"/>
    </row>
    <row r="33" spans="1:6" s="702" customFormat="1" ht="12.75">
      <c r="A33" s="696"/>
      <c r="D33" s="707"/>
      <c r="E33" s="707"/>
      <c r="F33" s="709"/>
    </row>
    <row r="34" spans="1:6" s="702" customFormat="1" ht="12.75">
      <c r="A34" s="696"/>
      <c r="D34" s="707"/>
      <c r="E34" s="707"/>
      <c r="F34" s="709"/>
    </row>
    <row r="35" spans="1:6" s="702" customFormat="1" ht="12.75">
      <c r="A35" s="696"/>
      <c r="D35" s="707"/>
      <c r="E35" s="707"/>
      <c r="F35" s="709"/>
    </row>
    <row r="36" spans="1:10" s="712" customFormat="1" ht="12.75">
      <c r="A36" s="711"/>
      <c r="D36" s="713"/>
      <c r="E36" s="713"/>
      <c r="F36" s="714"/>
      <c r="H36" s="702"/>
      <c r="J36" s="702"/>
    </row>
    <row r="37" spans="1:6" s="702" customFormat="1" ht="12.75">
      <c r="A37" s="696"/>
      <c r="D37" s="707"/>
      <c r="E37" s="707"/>
      <c r="F37" s="709"/>
    </row>
    <row r="38" spans="1:10" s="712" customFormat="1" ht="12.75">
      <c r="A38" s="711"/>
      <c r="D38" s="713"/>
      <c r="E38" s="713"/>
      <c r="F38" s="714"/>
      <c r="H38" s="702"/>
      <c r="J38" s="702"/>
    </row>
    <row r="39" spans="1:6" s="702" customFormat="1" ht="12.75">
      <c r="A39" s="696"/>
      <c r="D39" s="707"/>
      <c r="E39" s="707"/>
      <c r="F39" s="709"/>
    </row>
    <row r="40" spans="1:6" s="702" customFormat="1" ht="12.75">
      <c r="A40" s="696"/>
      <c r="D40" s="707"/>
      <c r="E40" s="707"/>
      <c r="F40" s="709"/>
    </row>
    <row r="41" spans="1:6" s="702" customFormat="1" ht="12.75">
      <c r="A41" s="696"/>
      <c r="D41" s="707"/>
      <c r="E41" s="707"/>
      <c r="F41" s="709"/>
    </row>
    <row r="42" spans="1:6" s="702" customFormat="1" ht="12.75">
      <c r="A42" s="696"/>
      <c r="D42" s="707"/>
      <c r="E42" s="707"/>
      <c r="F42" s="709"/>
    </row>
    <row r="43" spans="1:6" s="702" customFormat="1" ht="12.75">
      <c r="A43" s="696"/>
      <c r="D43" s="707"/>
      <c r="E43" s="707"/>
      <c r="F43" s="709"/>
    </row>
    <row r="44" spans="1:6" s="702" customFormat="1" ht="12.75">
      <c r="A44" s="696"/>
      <c r="D44" s="707"/>
      <c r="E44" s="707"/>
      <c r="F44" s="709"/>
    </row>
    <row r="45" spans="1:6" s="702" customFormat="1" ht="12.75">
      <c r="A45" s="696"/>
      <c r="D45" s="707"/>
      <c r="E45" s="707"/>
      <c r="F45" s="709"/>
    </row>
    <row r="46" spans="1:6" s="702" customFormat="1" ht="12.75">
      <c r="A46" s="715"/>
      <c r="D46" s="707"/>
      <c r="E46" s="707"/>
      <c r="F46" s="709"/>
    </row>
    <row r="47" spans="1:6" s="702" customFormat="1" ht="12.75">
      <c r="A47" s="715"/>
      <c r="D47" s="707"/>
      <c r="E47" s="707"/>
      <c r="F47" s="709"/>
    </row>
    <row r="48" spans="1:10" s="712" customFormat="1" ht="12.75">
      <c r="A48" s="716"/>
      <c r="D48" s="713"/>
      <c r="E48" s="713"/>
      <c r="F48" s="714"/>
      <c r="H48" s="702"/>
      <c r="J48" s="702"/>
    </row>
    <row r="49" spans="1:6" s="702" customFormat="1" ht="12.75">
      <c r="A49" s="715"/>
      <c r="D49" s="707"/>
      <c r="E49" s="707"/>
      <c r="F49" s="709"/>
    </row>
    <row r="50" spans="1:10" s="712" customFormat="1" ht="12.75">
      <c r="A50" s="711"/>
      <c r="D50" s="713"/>
      <c r="E50" s="713"/>
      <c r="F50" s="714"/>
      <c r="H50" s="702"/>
      <c r="J50" s="702"/>
    </row>
    <row r="51" spans="1:6" s="702" customFormat="1" ht="12.75">
      <c r="A51" s="696"/>
      <c r="D51" s="707"/>
      <c r="E51" s="707"/>
      <c r="F51" s="709"/>
    </row>
    <row r="52" spans="1:6" s="702" customFormat="1" ht="12.75">
      <c r="A52" s="696"/>
      <c r="D52" s="707"/>
      <c r="E52" s="707"/>
      <c r="F52" s="709"/>
    </row>
    <row r="53" spans="1:6" s="702" customFormat="1" ht="12.75">
      <c r="A53" s="696"/>
      <c r="D53" s="707"/>
      <c r="E53" s="707"/>
      <c r="F53" s="709"/>
    </row>
    <row r="54" spans="1:6" s="702" customFormat="1" ht="12.75">
      <c r="A54" s="696"/>
      <c r="D54" s="707"/>
      <c r="E54" s="707"/>
      <c r="F54" s="709"/>
    </row>
    <row r="55" spans="1:6" s="702" customFormat="1" ht="12.75">
      <c r="A55" s="696"/>
      <c r="D55" s="707"/>
      <c r="E55" s="707"/>
      <c r="F55" s="709"/>
    </row>
    <row r="56" spans="1:6" s="702" customFormat="1" ht="12.75">
      <c r="A56" s="696"/>
      <c r="D56" s="707"/>
      <c r="E56" s="707"/>
      <c r="F56" s="709"/>
    </row>
    <row r="57" spans="1:10" s="712" customFormat="1" ht="12.75">
      <c r="A57" s="711"/>
      <c r="D57" s="713"/>
      <c r="E57" s="713"/>
      <c r="F57" s="714"/>
      <c r="H57" s="702"/>
      <c r="J57" s="702"/>
    </row>
    <row r="58" spans="1:6" s="702" customFormat="1" ht="12.75">
      <c r="A58" s="696"/>
      <c r="D58" s="707"/>
      <c r="E58" s="707"/>
      <c r="F58" s="709"/>
    </row>
    <row r="59" spans="1:10" s="712" customFormat="1" ht="12.75">
      <c r="A59" s="711"/>
      <c r="D59" s="713"/>
      <c r="E59" s="713"/>
      <c r="F59" s="714"/>
      <c r="H59" s="702"/>
      <c r="J59" s="702"/>
    </row>
    <row r="60" spans="1:6" s="702" customFormat="1" ht="12.75">
      <c r="A60" s="696"/>
      <c r="D60" s="707"/>
      <c r="E60" s="707"/>
      <c r="F60" s="709"/>
    </row>
    <row r="61" spans="1:6" s="702" customFormat="1" ht="12.75">
      <c r="A61" s="696"/>
      <c r="D61" s="707"/>
      <c r="E61" s="707"/>
      <c r="F61" s="709"/>
    </row>
    <row r="62" spans="1:6" s="702" customFormat="1" ht="12.75">
      <c r="A62" s="696"/>
      <c r="D62" s="707"/>
      <c r="E62" s="707"/>
      <c r="F62" s="709"/>
    </row>
    <row r="63" spans="1:6" s="702" customFormat="1" ht="12.75">
      <c r="A63" s="696"/>
      <c r="D63" s="707"/>
      <c r="E63" s="707"/>
      <c r="F63" s="709"/>
    </row>
    <row r="64" spans="1:6" s="702" customFormat="1" ht="12.75">
      <c r="A64" s="696"/>
      <c r="D64" s="707"/>
      <c r="E64" s="707"/>
      <c r="F64" s="709"/>
    </row>
    <row r="65" spans="1:6" s="702" customFormat="1" ht="12.75">
      <c r="A65" s="696"/>
      <c r="D65" s="707"/>
      <c r="E65" s="707"/>
      <c r="F65" s="709"/>
    </row>
    <row r="66" spans="1:6" s="702" customFormat="1" ht="12.75">
      <c r="A66" s="696"/>
      <c r="D66" s="707"/>
      <c r="E66" s="707"/>
      <c r="F66" s="709"/>
    </row>
    <row r="67" spans="4:10" ht="12.75">
      <c r="D67" s="717"/>
      <c r="E67" s="717"/>
      <c r="J67" s="684" t="str">
        <f aca="true" t="shared" si="1" ref="J67:J130">IF(H67=0,"",F67*0.22)</f>
        <v/>
      </c>
    </row>
    <row r="68" spans="4:10" ht="12.75">
      <c r="D68" s="717"/>
      <c r="E68" s="717"/>
      <c r="J68" s="684" t="str">
        <f t="shared" si="1"/>
        <v/>
      </c>
    </row>
    <row r="69" spans="4:10" ht="12.75">
      <c r="D69" s="717"/>
      <c r="E69" s="717"/>
      <c r="J69" s="684" t="str">
        <f t="shared" si="1"/>
        <v/>
      </c>
    </row>
    <row r="70" spans="4:10" ht="12.75">
      <c r="D70" s="717"/>
      <c r="E70" s="717"/>
      <c r="J70" s="684" t="str">
        <f t="shared" si="1"/>
        <v/>
      </c>
    </row>
    <row r="71" spans="4:10" ht="12.75">
      <c r="D71" s="717"/>
      <c r="E71" s="717"/>
      <c r="J71" s="684" t="str">
        <f t="shared" si="1"/>
        <v/>
      </c>
    </row>
    <row r="72" spans="4:10" ht="12.75">
      <c r="D72" s="717"/>
      <c r="E72" s="717"/>
      <c r="J72" s="684" t="str">
        <f t="shared" si="1"/>
        <v/>
      </c>
    </row>
    <row r="73" spans="4:10" ht="12.75">
      <c r="D73" s="717"/>
      <c r="E73" s="717"/>
      <c r="J73" s="684" t="str">
        <f t="shared" si="1"/>
        <v/>
      </c>
    </row>
    <row r="74" spans="4:10" ht="12.75">
      <c r="D74" s="717"/>
      <c r="E74" s="717"/>
      <c r="J74" s="684" t="str">
        <f t="shared" si="1"/>
        <v/>
      </c>
    </row>
    <row r="75" spans="4:10" ht="12.75">
      <c r="D75" s="717"/>
      <c r="E75" s="717"/>
      <c r="J75" s="684" t="str">
        <f t="shared" si="1"/>
        <v/>
      </c>
    </row>
    <row r="76" spans="4:10" ht="12.75">
      <c r="D76" s="717"/>
      <c r="E76" s="717"/>
      <c r="J76" s="684" t="str">
        <f t="shared" si="1"/>
        <v/>
      </c>
    </row>
    <row r="77" spans="4:10" ht="12.75">
      <c r="D77" s="717"/>
      <c r="E77" s="717"/>
      <c r="J77" s="684" t="str">
        <f t="shared" si="1"/>
        <v/>
      </c>
    </row>
    <row r="78" spans="4:10" ht="12.75">
      <c r="D78" s="717"/>
      <c r="E78" s="717"/>
      <c r="J78" s="684" t="str">
        <f t="shared" si="1"/>
        <v/>
      </c>
    </row>
    <row r="79" spans="4:10" ht="12.75">
      <c r="D79" s="717"/>
      <c r="E79" s="717"/>
      <c r="J79" s="684" t="str">
        <f t="shared" si="1"/>
        <v/>
      </c>
    </row>
    <row r="80" spans="1:10" ht="12.75">
      <c r="A80" s="719"/>
      <c r="D80" s="717"/>
      <c r="E80" s="717"/>
      <c r="J80" s="684" t="str">
        <f t="shared" si="1"/>
        <v/>
      </c>
    </row>
    <row r="81" spans="1:10" ht="12.75">
      <c r="A81" s="719"/>
      <c r="D81" s="717"/>
      <c r="E81" s="717"/>
      <c r="J81" s="684" t="str">
        <f t="shared" si="1"/>
        <v/>
      </c>
    </row>
    <row r="82" spans="1:10" ht="12.75">
      <c r="A82" s="719"/>
      <c r="D82" s="717"/>
      <c r="E82" s="717"/>
      <c r="J82" s="684" t="str">
        <f t="shared" si="1"/>
        <v/>
      </c>
    </row>
    <row r="83" spans="4:10" ht="12.75">
      <c r="D83" s="717"/>
      <c r="E83" s="717"/>
      <c r="J83" s="684" t="str">
        <f t="shared" si="1"/>
        <v/>
      </c>
    </row>
    <row r="84" spans="4:10" ht="12.75">
      <c r="D84" s="717"/>
      <c r="E84" s="717"/>
      <c r="J84" s="684" t="str">
        <f t="shared" si="1"/>
        <v/>
      </c>
    </row>
    <row r="85" spans="1:10" s="686" customFormat="1" ht="12.75">
      <c r="A85" s="720"/>
      <c r="D85" s="721"/>
      <c r="E85" s="721"/>
      <c r="F85" s="722"/>
      <c r="H85" s="684"/>
      <c r="J85" s="684" t="str">
        <f t="shared" si="1"/>
        <v/>
      </c>
    </row>
    <row r="86" spans="4:10" ht="12.75">
      <c r="D86" s="717"/>
      <c r="E86" s="717"/>
      <c r="J86" s="684" t="str">
        <f t="shared" si="1"/>
        <v/>
      </c>
    </row>
    <row r="87" spans="1:10" s="686" customFormat="1" ht="12.75">
      <c r="A87" s="720"/>
      <c r="D87" s="721"/>
      <c r="E87" s="721"/>
      <c r="F87" s="722"/>
      <c r="H87" s="684"/>
      <c r="J87" s="684" t="str">
        <f t="shared" si="1"/>
        <v/>
      </c>
    </row>
    <row r="88" spans="4:10" ht="12.75">
      <c r="D88" s="717"/>
      <c r="E88" s="717"/>
      <c r="J88" s="684" t="str">
        <f t="shared" si="1"/>
        <v/>
      </c>
    </row>
    <row r="89" spans="4:10" ht="12.75">
      <c r="D89" s="717"/>
      <c r="E89" s="717"/>
      <c r="J89" s="684" t="str">
        <f t="shared" si="1"/>
        <v/>
      </c>
    </row>
    <row r="90" spans="4:10" ht="12.75">
      <c r="D90" s="717"/>
      <c r="E90" s="717"/>
      <c r="J90" s="684" t="str">
        <f t="shared" si="1"/>
        <v/>
      </c>
    </row>
    <row r="91" spans="4:10" ht="12.75">
      <c r="D91" s="717"/>
      <c r="E91" s="717"/>
      <c r="J91" s="684" t="str">
        <f t="shared" si="1"/>
        <v/>
      </c>
    </row>
    <row r="92" ht="12.75">
      <c r="J92" s="684" t="str">
        <f t="shared" si="1"/>
        <v/>
      </c>
    </row>
    <row r="93" ht="12.75">
      <c r="J93" s="684" t="str">
        <f t="shared" si="1"/>
        <v/>
      </c>
    </row>
    <row r="94" spans="1:10" s="686" customFormat="1" ht="12.75">
      <c r="A94" s="720"/>
      <c r="D94" s="723"/>
      <c r="E94" s="723"/>
      <c r="F94" s="722"/>
      <c r="H94" s="684"/>
      <c r="J94" s="684" t="str">
        <f t="shared" si="1"/>
        <v/>
      </c>
    </row>
    <row r="95" ht="12.75">
      <c r="J95" s="684" t="str">
        <f t="shared" si="1"/>
        <v/>
      </c>
    </row>
    <row r="96" spans="1:10" s="686" customFormat="1" ht="12.75">
      <c r="A96" s="720"/>
      <c r="D96" s="723"/>
      <c r="E96" s="723"/>
      <c r="F96" s="722"/>
      <c r="H96" s="684"/>
      <c r="J96" s="684" t="str">
        <f t="shared" si="1"/>
        <v/>
      </c>
    </row>
    <row r="97" ht="12.75">
      <c r="J97" s="684" t="str">
        <f t="shared" si="1"/>
        <v/>
      </c>
    </row>
    <row r="98" ht="12.75">
      <c r="J98" s="684" t="str">
        <f t="shared" si="1"/>
        <v/>
      </c>
    </row>
    <row r="99" ht="12.75">
      <c r="J99" s="684" t="str">
        <f t="shared" si="1"/>
        <v/>
      </c>
    </row>
    <row r="100" ht="12.75">
      <c r="J100" s="684" t="str">
        <f t="shared" si="1"/>
        <v/>
      </c>
    </row>
    <row r="101" ht="12.75">
      <c r="J101" s="684" t="str">
        <f t="shared" si="1"/>
        <v/>
      </c>
    </row>
    <row r="102" ht="12.75">
      <c r="J102" s="684" t="str">
        <f t="shared" si="1"/>
        <v/>
      </c>
    </row>
    <row r="103" ht="12.75">
      <c r="J103" s="684" t="str">
        <f t="shared" si="1"/>
        <v/>
      </c>
    </row>
    <row r="104" ht="12.75">
      <c r="J104" s="684" t="str">
        <f t="shared" si="1"/>
        <v/>
      </c>
    </row>
    <row r="105" ht="12.75">
      <c r="J105" s="684" t="str">
        <f t="shared" si="1"/>
        <v/>
      </c>
    </row>
    <row r="106" ht="12.75">
      <c r="J106" s="684" t="str">
        <f t="shared" si="1"/>
        <v/>
      </c>
    </row>
    <row r="107" ht="12.75">
      <c r="J107" s="684" t="str">
        <f t="shared" si="1"/>
        <v/>
      </c>
    </row>
    <row r="108" ht="12.75">
      <c r="J108" s="684" t="str">
        <f t="shared" si="1"/>
        <v/>
      </c>
    </row>
    <row r="109" ht="12.75">
      <c r="J109" s="684" t="str">
        <f t="shared" si="1"/>
        <v/>
      </c>
    </row>
    <row r="110" ht="12.75">
      <c r="J110" s="684" t="str">
        <f t="shared" si="1"/>
        <v/>
      </c>
    </row>
    <row r="111" ht="12.75">
      <c r="J111" s="684" t="str">
        <f t="shared" si="1"/>
        <v/>
      </c>
    </row>
    <row r="112" ht="12.75">
      <c r="J112" s="684" t="str">
        <f t="shared" si="1"/>
        <v/>
      </c>
    </row>
    <row r="113" ht="12.75">
      <c r="J113" s="684" t="str">
        <f t="shared" si="1"/>
        <v/>
      </c>
    </row>
    <row r="114" ht="12.75">
      <c r="J114" s="684" t="str">
        <f t="shared" si="1"/>
        <v/>
      </c>
    </row>
    <row r="115" ht="12.75">
      <c r="J115" s="684" t="str">
        <f t="shared" si="1"/>
        <v/>
      </c>
    </row>
    <row r="116" spans="1:10" s="686" customFormat="1" ht="12.75">
      <c r="A116" s="720"/>
      <c r="D116" s="723"/>
      <c r="E116" s="723"/>
      <c r="F116" s="722"/>
      <c r="H116" s="684"/>
      <c r="J116" s="684" t="str">
        <f t="shared" si="1"/>
        <v/>
      </c>
    </row>
    <row r="117" ht="12.75">
      <c r="J117" s="684" t="str">
        <f t="shared" si="1"/>
        <v/>
      </c>
    </row>
    <row r="118" spans="1:10" s="686" customFormat="1" ht="12.75">
      <c r="A118" s="720"/>
      <c r="D118" s="723"/>
      <c r="E118" s="723"/>
      <c r="F118" s="722"/>
      <c r="H118" s="684"/>
      <c r="J118" s="684" t="str">
        <f t="shared" si="1"/>
        <v/>
      </c>
    </row>
    <row r="119" ht="12.75">
      <c r="J119" s="684" t="str">
        <f t="shared" si="1"/>
        <v/>
      </c>
    </row>
    <row r="120" ht="12.75">
      <c r="J120" s="684" t="str">
        <f t="shared" si="1"/>
        <v/>
      </c>
    </row>
    <row r="121" ht="12.75">
      <c r="J121" s="684" t="str">
        <f t="shared" si="1"/>
        <v/>
      </c>
    </row>
    <row r="122" ht="12.75">
      <c r="J122" s="684" t="str">
        <f t="shared" si="1"/>
        <v/>
      </c>
    </row>
    <row r="123" ht="12.75">
      <c r="J123" s="684" t="str">
        <f t="shared" si="1"/>
        <v/>
      </c>
    </row>
    <row r="124" ht="12.75">
      <c r="J124" s="684" t="str">
        <f t="shared" si="1"/>
        <v/>
      </c>
    </row>
    <row r="125" ht="12.75">
      <c r="J125" s="684" t="str">
        <f t="shared" si="1"/>
        <v/>
      </c>
    </row>
    <row r="126" ht="12.75">
      <c r="J126" s="684" t="str">
        <f t="shared" si="1"/>
        <v/>
      </c>
    </row>
    <row r="127" ht="12.75">
      <c r="J127" s="684" t="str">
        <f t="shared" si="1"/>
        <v/>
      </c>
    </row>
    <row r="128" spans="1:10" s="686" customFormat="1" ht="12.75">
      <c r="A128" s="720"/>
      <c r="D128" s="723"/>
      <c r="E128" s="723"/>
      <c r="F128" s="722"/>
      <c r="H128" s="684"/>
      <c r="J128" s="684" t="str">
        <f t="shared" si="1"/>
        <v/>
      </c>
    </row>
    <row r="129" ht="12.75">
      <c r="J129" s="684" t="str">
        <f t="shared" si="1"/>
        <v/>
      </c>
    </row>
    <row r="130" spans="1:10" s="686" customFormat="1" ht="12.75">
      <c r="A130" s="720"/>
      <c r="D130" s="723"/>
      <c r="E130" s="723"/>
      <c r="F130" s="722"/>
      <c r="H130" s="684"/>
      <c r="J130" s="684" t="str">
        <f t="shared" si="1"/>
        <v/>
      </c>
    </row>
    <row r="131" ht="12.75">
      <c r="J131" s="684" t="str">
        <f aca="true" t="shared" si="2" ref="J131:J194">IF(H131=0,"",F131*0.22)</f>
        <v/>
      </c>
    </row>
    <row r="132" ht="12.75">
      <c r="J132" s="684" t="str">
        <f t="shared" si="2"/>
        <v/>
      </c>
    </row>
    <row r="133" spans="1:10" s="686" customFormat="1" ht="12.75">
      <c r="A133" s="720"/>
      <c r="D133" s="723"/>
      <c r="E133" s="723"/>
      <c r="F133" s="722"/>
      <c r="H133" s="684"/>
      <c r="J133" s="684" t="str">
        <f t="shared" si="2"/>
        <v/>
      </c>
    </row>
    <row r="134" ht="12.75">
      <c r="J134" s="684" t="str">
        <f t="shared" si="2"/>
        <v/>
      </c>
    </row>
    <row r="135" spans="1:10" s="686" customFormat="1" ht="12.75">
      <c r="A135" s="720"/>
      <c r="D135" s="723"/>
      <c r="E135" s="723"/>
      <c r="F135" s="722"/>
      <c r="H135" s="684"/>
      <c r="J135" s="684" t="str">
        <f t="shared" si="2"/>
        <v/>
      </c>
    </row>
    <row r="136" ht="12.75">
      <c r="J136" s="684" t="str">
        <f t="shared" si="2"/>
        <v/>
      </c>
    </row>
    <row r="137" ht="12.75">
      <c r="J137" s="684" t="str">
        <f t="shared" si="2"/>
        <v/>
      </c>
    </row>
    <row r="138" ht="12.75">
      <c r="J138" s="684" t="str">
        <f t="shared" si="2"/>
        <v/>
      </c>
    </row>
    <row r="139" spans="1:10" s="686" customFormat="1" ht="12.75">
      <c r="A139" s="720"/>
      <c r="D139" s="723"/>
      <c r="E139" s="723"/>
      <c r="F139" s="722"/>
      <c r="H139" s="684"/>
      <c r="J139" s="684" t="str">
        <f t="shared" si="2"/>
        <v/>
      </c>
    </row>
    <row r="140" ht="12.75">
      <c r="J140" s="684" t="str">
        <f t="shared" si="2"/>
        <v/>
      </c>
    </row>
    <row r="141" spans="1:10" s="686" customFormat="1" ht="12.75">
      <c r="A141" s="720"/>
      <c r="D141" s="723"/>
      <c r="E141" s="723"/>
      <c r="F141" s="722"/>
      <c r="H141" s="684"/>
      <c r="J141" s="684" t="str">
        <f t="shared" si="2"/>
        <v/>
      </c>
    </row>
    <row r="142" ht="12.75">
      <c r="J142" s="684" t="str">
        <f t="shared" si="2"/>
        <v/>
      </c>
    </row>
    <row r="143" ht="12.75">
      <c r="J143" s="684" t="str">
        <f t="shared" si="2"/>
        <v/>
      </c>
    </row>
    <row r="144" spans="1:10" s="686" customFormat="1" ht="12.75">
      <c r="A144" s="720"/>
      <c r="D144" s="723"/>
      <c r="E144" s="723"/>
      <c r="F144" s="722"/>
      <c r="H144" s="684"/>
      <c r="J144" s="684" t="str">
        <f t="shared" si="2"/>
        <v/>
      </c>
    </row>
    <row r="145" ht="12.75">
      <c r="J145" s="684" t="str">
        <f t="shared" si="2"/>
        <v/>
      </c>
    </row>
    <row r="146" spans="1:10" s="686" customFormat="1" ht="12.75">
      <c r="A146" s="720"/>
      <c r="D146" s="723"/>
      <c r="E146" s="723"/>
      <c r="F146" s="722"/>
      <c r="H146" s="684"/>
      <c r="J146" s="684" t="str">
        <f t="shared" si="2"/>
        <v/>
      </c>
    </row>
    <row r="147" ht="12.75">
      <c r="J147" s="684" t="str">
        <f t="shared" si="2"/>
        <v/>
      </c>
    </row>
    <row r="148" ht="12.75">
      <c r="J148" s="684" t="str">
        <f t="shared" si="2"/>
        <v/>
      </c>
    </row>
    <row r="149" spans="1:10" s="686" customFormat="1" ht="12.75">
      <c r="A149" s="720"/>
      <c r="D149" s="723"/>
      <c r="E149" s="723"/>
      <c r="F149" s="722"/>
      <c r="H149" s="684"/>
      <c r="J149" s="684" t="str">
        <f t="shared" si="2"/>
        <v/>
      </c>
    </row>
    <row r="150" ht="12.75">
      <c r="J150" s="684" t="str">
        <f t="shared" si="2"/>
        <v/>
      </c>
    </row>
    <row r="151" spans="1:10" s="686" customFormat="1" ht="12.75">
      <c r="A151" s="720"/>
      <c r="D151" s="723"/>
      <c r="E151" s="723"/>
      <c r="F151" s="722"/>
      <c r="H151" s="684"/>
      <c r="J151" s="684" t="str">
        <f t="shared" si="2"/>
        <v/>
      </c>
    </row>
    <row r="152" ht="12.75">
      <c r="J152" s="684" t="str">
        <f t="shared" si="2"/>
        <v/>
      </c>
    </row>
    <row r="153" ht="12.75">
      <c r="J153" s="684" t="str">
        <f t="shared" si="2"/>
        <v/>
      </c>
    </row>
    <row r="154" ht="12.75">
      <c r="J154" s="684" t="str">
        <f t="shared" si="2"/>
        <v/>
      </c>
    </row>
    <row r="155" ht="12.75">
      <c r="J155" s="684" t="str">
        <f t="shared" si="2"/>
        <v/>
      </c>
    </row>
    <row r="156" spans="1:10" s="686" customFormat="1" ht="12.75">
      <c r="A156" s="720"/>
      <c r="D156" s="723"/>
      <c r="E156" s="723"/>
      <c r="F156" s="722"/>
      <c r="H156" s="684"/>
      <c r="J156" s="684" t="str">
        <f t="shared" si="2"/>
        <v/>
      </c>
    </row>
    <row r="157" ht="12.75">
      <c r="J157" s="684" t="str">
        <f t="shared" si="2"/>
        <v/>
      </c>
    </row>
    <row r="158" spans="1:10" s="686" customFormat="1" ht="12.75">
      <c r="A158" s="720"/>
      <c r="D158" s="723"/>
      <c r="E158" s="723"/>
      <c r="F158" s="722"/>
      <c r="H158" s="684"/>
      <c r="J158" s="684" t="str">
        <f t="shared" si="2"/>
        <v/>
      </c>
    </row>
    <row r="159" ht="12.75">
      <c r="J159" s="684" t="str">
        <f t="shared" si="2"/>
        <v/>
      </c>
    </row>
    <row r="160" ht="12.75">
      <c r="J160" s="684" t="str">
        <f t="shared" si="2"/>
        <v/>
      </c>
    </row>
    <row r="161" spans="1:10" s="686" customFormat="1" ht="12.75">
      <c r="A161" s="720"/>
      <c r="D161" s="723"/>
      <c r="E161" s="723"/>
      <c r="F161" s="722"/>
      <c r="H161" s="684"/>
      <c r="J161" s="684" t="str">
        <f t="shared" si="2"/>
        <v/>
      </c>
    </row>
    <row r="162" ht="12.75">
      <c r="J162" s="684" t="str">
        <f t="shared" si="2"/>
        <v/>
      </c>
    </row>
    <row r="163" spans="1:10" s="686" customFormat="1" ht="12.75">
      <c r="A163" s="720"/>
      <c r="D163" s="723"/>
      <c r="E163" s="723"/>
      <c r="F163" s="722"/>
      <c r="H163" s="684"/>
      <c r="J163" s="684" t="str">
        <f t="shared" si="2"/>
        <v/>
      </c>
    </row>
    <row r="164" ht="12.75">
      <c r="J164" s="684" t="str">
        <f t="shared" si="2"/>
        <v/>
      </c>
    </row>
    <row r="165" ht="12.75">
      <c r="J165" s="684" t="str">
        <f t="shared" si="2"/>
        <v/>
      </c>
    </row>
    <row r="166" ht="12.75">
      <c r="J166" s="684" t="str">
        <f t="shared" si="2"/>
        <v/>
      </c>
    </row>
    <row r="167" ht="12.75">
      <c r="J167" s="684" t="str">
        <f t="shared" si="2"/>
        <v/>
      </c>
    </row>
    <row r="168" ht="12.75">
      <c r="J168" s="684" t="str">
        <f t="shared" si="2"/>
        <v/>
      </c>
    </row>
    <row r="169" ht="12.75">
      <c r="J169" s="684" t="str">
        <f t="shared" si="2"/>
        <v/>
      </c>
    </row>
    <row r="170" ht="12.75">
      <c r="J170" s="684" t="str">
        <f t="shared" si="2"/>
        <v/>
      </c>
    </row>
    <row r="171" ht="12.75">
      <c r="J171" s="684" t="str">
        <f t="shared" si="2"/>
        <v/>
      </c>
    </row>
    <row r="172" ht="12.75">
      <c r="J172" s="684" t="str">
        <f t="shared" si="2"/>
        <v/>
      </c>
    </row>
    <row r="173" ht="12.75">
      <c r="J173" s="684" t="str">
        <f t="shared" si="2"/>
        <v/>
      </c>
    </row>
    <row r="174" ht="12.75">
      <c r="J174" s="684" t="str">
        <f t="shared" si="2"/>
        <v/>
      </c>
    </row>
    <row r="175" ht="12.75">
      <c r="J175" s="684" t="str">
        <f t="shared" si="2"/>
        <v/>
      </c>
    </row>
    <row r="176" ht="12.75">
      <c r="J176" s="684" t="str">
        <f t="shared" si="2"/>
        <v/>
      </c>
    </row>
    <row r="177" ht="12.75">
      <c r="J177" s="684" t="str">
        <f t="shared" si="2"/>
        <v/>
      </c>
    </row>
    <row r="178" ht="12.75">
      <c r="J178" s="684" t="str">
        <f t="shared" si="2"/>
        <v/>
      </c>
    </row>
    <row r="179" ht="12.75">
      <c r="J179" s="684" t="str">
        <f t="shared" si="2"/>
        <v/>
      </c>
    </row>
    <row r="180" ht="12.75">
      <c r="J180" s="684" t="str">
        <f t="shared" si="2"/>
        <v/>
      </c>
    </row>
    <row r="181" ht="12.75">
      <c r="J181" s="684" t="str">
        <f t="shared" si="2"/>
        <v/>
      </c>
    </row>
    <row r="182" ht="12.75">
      <c r="J182" s="684" t="str">
        <f t="shared" si="2"/>
        <v/>
      </c>
    </row>
    <row r="183" ht="12.75">
      <c r="J183" s="684" t="str">
        <f t="shared" si="2"/>
        <v/>
      </c>
    </row>
    <row r="184" ht="12.75">
      <c r="J184" s="684" t="str">
        <f t="shared" si="2"/>
        <v/>
      </c>
    </row>
    <row r="185" ht="12.75">
      <c r="J185" s="684" t="str">
        <f t="shared" si="2"/>
        <v/>
      </c>
    </row>
    <row r="186" ht="12.75">
      <c r="J186" s="684" t="str">
        <f t="shared" si="2"/>
        <v/>
      </c>
    </row>
    <row r="187" spans="1:10" s="686" customFormat="1" ht="12.75">
      <c r="A187" s="720"/>
      <c r="D187" s="723"/>
      <c r="E187" s="723"/>
      <c r="F187" s="722"/>
      <c r="H187" s="684"/>
      <c r="J187" s="684" t="str">
        <f t="shared" si="2"/>
        <v/>
      </c>
    </row>
    <row r="188" ht="12.75">
      <c r="J188" s="684" t="str">
        <f t="shared" si="2"/>
        <v/>
      </c>
    </row>
    <row r="189" spans="1:10" s="686" customFormat="1" ht="12.75">
      <c r="A189" s="720"/>
      <c r="D189" s="723"/>
      <c r="E189" s="723"/>
      <c r="F189" s="722"/>
      <c r="H189" s="684"/>
      <c r="J189" s="684" t="str">
        <f t="shared" si="2"/>
        <v/>
      </c>
    </row>
    <row r="190" ht="12.75">
      <c r="J190" s="684" t="str">
        <f t="shared" si="2"/>
        <v/>
      </c>
    </row>
    <row r="191" ht="12.75">
      <c r="J191" s="684" t="str">
        <f t="shared" si="2"/>
        <v/>
      </c>
    </row>
    <row r="192" ht="12.75">
      <c r="J192" s="684" t="str">
        <f t="shared" si="2"/>
        <v/>
      </c>
    </row>
    <row r="193" spans="1:10" s="686" customFormat="1" ht="12.75">
      <c r="A193" s="720"/>
      <c r="D193" s="723"/>
      <c r="E193" s="723"/>
      <c r="F193" s="722"/>
      <c r="H193" s="684"/>
      <c r="J193" s="684" t="str">
        <f t="shared" si="2"/>
        <v/>
      </c>
    </row>
    <row r="194" ht="12.75">
      <c r="J194" s="684" t="str">
        <f t="shared" si="2"/>
        <v/>
      </c>
    </row>
    <row r="195" spans="1:10" s="686" customFormat="1" ht="12.75">
      <c r="A195" s="720"/>
      <c r="D195" s="723"/>
      <c r="E195" s="723"/>
      <c r="F195" s="722"/>
      <c r="H195" s="684"/>
      <c r="J195" s="684" t="str">
        <f aca="true" t="shared" si="3" ref="J195:J258">IF(H195=0,"",F195*0.22)</f>
        <v/>
      </c>
    </row>
    <row r="196" ht="12.75">
      <c r="J196" s="684" t="str">
        <f t="shared" si="3"/>
        <v/>
      </c>
    </row>
    <row r="197" ht="12.75">
      <c r="J197" s="684" t="str">
        <f t="shared" si="3"/>
        <v/>
      </c>
    </row>
    <row r="198" ht="12.75">
      <c r="J198" s="684" t="str">
        <f t="shared" si="3"/>
        <v/>
      </c>
    </row>
    <row r="199" spans="1:10" s="686" customFormat="1" ht="12.75">
      <c r="A199" s="720"/>
      <c r="D199" s="723"/>
      <c r="E199" s="723"/>
      <c r="F199" s="722"/>
      <c r="H199" s="684"/>
      <c r="J199" s="684" t="str">
        <f t="shared" si="3"/>
        <v/>
      </c>
    </row>
    <row r="200" ht="12.75">
      <c r="J200" s="684" t="str">
        <f t="shared" si="3"/>
        <v/>
      </c>
    </row>
    <row r="201" spans="1:10" s="686" customFormat="1" ht="12.75">
      <c r="A201" s="720"/>
      <c r="D201" s="723"/>
      <c r="E201" s="723"/>
      <c r="F201" s="722"/>
      <c r="H201" s="684"/>
      <c r="J201" s="684" t="str">
        <f t="shared" si="3"/>
        <v/>
      </c>
    </row>
    <row r="202" ht="12.75">
      <c r="J202" s="684" t="str">
        <f t="shared" si="3"/>
        <v/>
      </c>
    </row>
    <row r="203" ht="12.75">
      <c r="J203" s="684" t="str">
        <f t="shared" si="3"/>
        <v/>
      </c>
    </row>
    <row r="204" ht="12.75">
      <c r="J204" s="684" t="str">
        <f t="shared" si="3"/>
        <v/>
      </c>
    </row>
    <row r="205" ht="12.75">
      <c r="J205" s="684" t="str">
        <f t="shared" si="3"/>
        <v/>
      </c>
    </row>
    <row r="206" spans="1:10" s="686" customFormat="1" ht="12.75">
      <c r="A206" s="720"/>
      <c r="D206" s="723"/>
      <c r="E206" s="723"/>
      <c r="F206" s="722"/>
      <c r="H206" s="684"/>
      <c r="J206" s="684" t="str">
        <f t="shared" si="3"/>
        <v/>
      </c>
    </row>
    <row r="207" ht="12.75">
      <c r="J207" s="684" t="str">
        <f t="shared" si="3"/>
        <v/>
      </c>
    </row>
    <row r="208" spans="1:10" s="686" customFormat="1" ht="12.75">
      <c r="A208" s="720"/>
      <c r="D208" s="723"/>
      <c r="E208" s="723"/>
      <c r="F208" s="722"/>
      <c r="H208" s="684"/>
      <c r="J208" s="684" t="str">
        <f t="shared" si="3"/>
        <v/>
      </c>
    </row>
    <row r="209" ht="12.75">
      <c r="J209" s="684" t="str">
        <f t="shared" si="3"/>
        <v/>
      </c>
    </row>
    <row r="210" ht="12.75">
      <c r="J210" s="684" t="str">
        <f t="shared" si="3"/>
        <v/>
      </c>
    </row>
    <row r="211" ht="12.75">
      <c r="J211" s="684" t="str">
        <f t="shared" si="3"/>
        <v/>
      </c>
    </row>
    <row r="212" spans="1:10" s="686" customFormat="1" ht="12.75">
      <c r="A212" s="720"/>
      <c r="D212" s="723"/>
      <c r="E212" s="723"/>
      <c r="F212" s="722"/>
      <c r="H212" s="684"/>
      <c r="J212" s="684" t="str">
        <f t="shared" si="3"/>
        <v/>
      </c>
    </row>
    <row r="213" ht="12.75">
      <c r="J213" s="684" t="str">
        <f t="shared" si="3"/>
        <v/>
      </c>
    </row>
    <row r="214" spans="1:10" s="686" customFormat="1" ht="12.75">
      <c r="A214" s="720"/>
      <c r="D214" s="723"/>
      <c r="E214" s="723"/>
      <c r="F214" s="722"/>
      <c r="H214" s="684"/>
      <c r="J214" s="684" t="str">
        <f t="shared" si="3"/>
        <v/>
      </c>
    </row>
    <row r="215" ht="12.75">
      <c r="J215" s="684" t="str">
        <f t="shared" si="3"/>
        <v/>
      </c>
    </row>
    <row r="216" ht="12.75">
      <c r="J216" s="684" t="str">
        <f t="shared" si="3"/>
        <v/>
      </c>
    </row>
    <row r="217" spans="1:10" s="686" customFormat="1" ht="12.75">
      <c r="A217" s="720"/>
      <c r="D217" s="723"/>
      <c r="E217" s="723"/>
      <c r="F217" s="722"/>
      <c r="H217" s="684"/>
      <c r="J217" s="684" t="str">
        <f t="shared" si="3"/>
        <v/>
      </c>
    </row>
    <row r="218" ht="12.75">
      <c r="J218" s="684" t="str">
        <f t="shared" si="3"/>
        <v/>
      </c>
    </row>
    <row r="219" ht="12.75">
      <c r="J219" s="684" t="str">
        <f t="shared" si="3"/>
        <v/>
      </c>
    </row>
    <row r="220" ht="12.75">
      <c r="J220" s="684" t="str">
        <f t="shared" si="3"/>
        <v/>
      </c>
    </row>
    <row r="221" ht="12.75">
      <c r="J221" s="684" t="str">
        <f t="shared" si="3"/>
        <v/>
      </c>
    </row>
    <row r="222" ht="12.75">
      <c r="J222" s="684" t="str">
        <f t="shared" si="3"/>
        <v/>
      </c>
    </row>
    <row r="223" ht="12.75">
      <c r="J223" s="684" t="str">
        <f t="shared" si="3"/>
        <v/>
      </c>
    </row>
    <row r="224" ht="12.75">
      <c r="J224" s="684" t="str">
        <f t="shared" si="3"/>
        <v/>
      </c>
    </row>
    <row r="225" ht="12.75">
      <c r="J225" s="684" t="str">
        <f t="shared" si="3"/>
        <v/>
      </c>
    </row>
    <row r="226" ht="12.75">
      <c r="J226" s="684" t="str">
        <f t="shared" si="3"/>
        <v/>
      </c>
    </row>
    <row r="227" ht="12.75">
      <c r="J227" s="684" t="str">
        <f t="shared" si="3"/>
        <v/>
      </c>
    </row>
    <row r="228" ht="12.75">
      <c r="J228" s="684" t="str">
        <f t="shared" si="3"/>
        <v/>
      </c>
    </row>
    <row r="229" ht="12.75">
      <c r="J229" s="684" t="str">
        <f t="shared" si="3"/>
        <v/>
      </c>
    </row>
    <row r="230" ht="12.75">
      <c r="J230" s="684" t="str">
        <f t="shared" si="3"/>
        <v/>
      </c>
    </row>
    <row r="231" ht="12.75">
      <c r="J231" s="684" t="str">
        <f t="shared" si="3"/>
        <v/>
      </c>
    </row>
    <row r="232" ht="12.75">
      <c r="J232" s="684" t="str">
        <f t="shared" si="3"/>
        <v/>
      </c>
    </row>
    <row r="233" ht="12.75">
      <c r="J233" s="684" t="str">
        <f t="shared" si="3"/>
        <v/>
      </c>
    </row>
    <row r="234" ht="12.75">
      <c r="J234" s="684" t="str">
        <f t="shared" si="3"/>
        <v/>
      </c>
    </row>
    <row r="235" ht="12.75">
      <c r="J235" s="684" t="str">
        <f t="shared" si="3"/>
        <v/>
      </c>
    </row>
    <row r="236" ht="12.75">
      <c r="J236" s="684" t="str">
        <f t="shared" si="3"/>
        <v/>
      </c>
    </row>
    <row r="237" ht="12.75">
      <c r="J237" s="684" t="str">
        <f t="shared" si="3"/>
        <v/>
      </c>
    </row>
    <row r="238" ht="12.75">
      <c r="J238" s="684" t="str">
        <f t="shared" si="3"/>
        <v/>
      </c>
    </row>
    <row r="239" ht="12.75">
      <c r="J239" s="684" t="str">
        <f t="shared" si="3"/>
        <v/>
      </c>
    </row>
    <row r="240" ht="12.75">
      <c r="J240" s="684" t="str">
        <f t="shared" si="3"/>
        <v/>
      </c>
    </row>
    <row r="241" ht="12.75">
      <c r="J241" s="684" t="str">
        <f t="shared" si="3"/>
        <v/>
      </c>
    </row>
    <row r="242" ht="12.75">
      <c r="J242" s="684" t="str">
        <f t="shared" si="3"/>
        <v/>
      </c>
    </row>
    <row r="243" ht="12.75">
      <c r="J243" s="684" t="str">
        <f t="shared" si="3"/>
        <v/>
      </c>
    </row>
    <row r="244" ht="12.75">
      <c r="J244" s="684" t="str">
        <f t="shared" si="3"/>
        <v/>
      </c>
    </row>
    <row r="245" ht="12.75">
      <c r="J245" s="684" t="str">
        <f t="shared" si="3"/>
        <v/>
      </c>
    </row>
    <row r="246" ht="12.75">
      <c r="J246" s="684" t="str">
        <f t="shared" si="3"/>
        <v/>
      </c>
    </row>
    <row r="247" ht="12.75">
      <c r="J247" s="684" t="str">
        <f t="shared" si="3"/>
        <v/>
      </c>
    </row>
    <row r="248" ht="12.75">
      <c r="J248" s="684" t="str">
        <f t="shared" si="3"/>
        <v/>
      </c>
    </row>
    <row r="249" ht="12.75">
      <c r="J249" s="684" t="str">
        <f t="shared" si="3"/>
        <v/>
      </c>
    </row>
    <row r="250" ht="12.75">
      <c r="J250" s="684" t="str">
        <f t="shared" si="3"/>
        <v/>
      </c>
    </row>
    <row r="251" ht="12.75">
      <c r="J251" s="684" t="str">
        <f t="shared" si="3"/>
        <v/>
      </c>
    </row>
    <row r="252" ht="12.75">
      <c r="J252" s="684" t="str">
        <f t="shared" si="3"/>
        <v/>
      </c>
    </row>
    <row r="253" ht="12.75">
      <c r="J253" s="684" t="str">
        <f t="shared" si="3"/>
        <v/>
      </c>
    </row>
    <row r="254" ht="12.75">
      <c r="J254" s="684" t="str">
        <f t="shared" si="3"/>
        <v/>
      </c>
    </row>
    <row r="255" ht="12.75">
      <c r="J255" s="684" t="str">
        <f t="shared" si="3"/>
        <v/>
      </c>
    </row>
    <row r="256" ht="12.75">
      <c r="J256" s="684" t="str">
        <f t="shared" si="3"/>
        <v/>
      </c>
    </row>
    <row r="257" ht="12.75">
      <c r="J257" s="684" t="str">
        <f t="shared" si="3"/>
        <v/>
      </c>
    </row>
    <row r="258" ht="12.75">
      <c r="J258" s="684" t="str">
        <f t="shared" si="3"/>
        <v/>
      </c>
    </row>
    <row r="259" ht="12.75">
      <c r="J259" s="684" t="str">
        <f aca="true" t="shared" si="4" ref="J259:J322">IF(H259=0,"",F259*0.22)</f>
        <v/>
      </c>
    </row>
    <row r="260" ht="12.75">
      <c r="J260" s="684" t="str">
        <f t="shared" si="4"/>
        <v/>
      </c>
    </row>
    <row r="261" ht="12.75">
      <c r="J261" s="684" t="str">
        <f t="shared" si="4"/>
        <v/>
      </c>
    </row>
    <row r="262" ht="12.75">
      <c r="J262" s="684" t="str">
        <f t="shared" si="4"/>
        <v/>
      </c>
    </row>
    <row r="263" ht="12.75">
      <c r="J263" s="684" t="str">
        <f t="shared" si="4"/>
        <v/>
      </c>
    </row>
    <row r="264" ht="12.75">
      <c r="J264" s="684" t="str">
        <f t="shared" si="4"/>
        <v/>
      </c>
    </row>
    <row r="265" ht="12.75">
      <c r="J265" s="684" t="str">
        <f t="shared" si="4"/>
        <v/>
      </c>
    </row>
    <row r="266" ht="12.75">
      <c r="J266" s="684" t="str">
        <f t="shared" si="4"/>
        <v/>
      </c>
    </row>
    <row r="267" ht="12.75">
      <c r="J267" s="684" t="str">
        <f t="shared" si="4"/>
        <v/>
      </c>
    </row>
    <row r="268" ht="12.75">
      <c r="J268" s="684" t="str">
        <f t="shared" si="4"/>
        <v/>
      </c>
    </row>
    <row r="269" ht="12.75">
      <c r="J269" s="684" t="str">
        <f t="shared" si="4"/>
        <v/>
      </c>
    </row>
    <row r="270" ht="12.75">
      <c r="J270" s="684" t="str">
        <f t="shared" si="4"/>
        <v/>
      </c>
    </row>
    <row r="271" ht="12.75">
      <c r="J271" s="684" t="str">
        <f t="shared" si="4"/>
        <v/>
      </c>
    </row>
    <row r="272" ht="12.75">
      <c r="J272" s="684" t="str">
        <f t="shared" si="4"/>
        <v/>
      </c>
    </row>
    <row r="273" ht="12.75">
      <c r="J273" s="684" t="str">
        <f t="shared" si="4"/>
        <v/>
      </c>
    </row>
    <row r="274" ht="12.75">
      <c r="J274" s="684" t="str">
        <f t="shared" si="4"/>
        <v/>
      </c>
    </row>
    <row r="275" ht="12.75">
      <c r="J275" s="684" t="str">
        <f t="shared" si="4"/>
        <v/>
      </c>
    </row>
    <row r="276" ht="12.75">
      <c r="J276" s="684" t="str">
        <f t="shared" si="4"/>
        <v/>
      </c>
    </row>
    <row r="277" ht="12.75">
      <c r="J277" s="684" t="str">
        <f t="shared" si="4"/>
        <v/>
      </c>
    </row>
    <row r="278" ht="12.75">
      <c r="J278" s="684" t="str">
        <f t="shared" si="4"/>
        <v/>
      </c>
    </row>
    <row r="279" ht="12.75">
      <c r="J279" s="684" t="str">
        <f t="shared" si="4"/>
        <v/>
      </c>
    </row>
    <row r="280" ht="12.75">
      <c r="J280" s="684" t="str">
        <f t="shared" si="4"/>
        <v/>
      </c>
    </row>
    <row r="281" ht="12.75">
      <c r="J281" s="684" t="str">
        <f t="shared" si="4"/>
        <v/>
      </c>
    </row>
    <row r="282" ht="12.75">
      <c r="J282" s="684" t="str">
        <f t="shared" si="4"/>
        <v/>
      </c>
    </row>
    <row r="283" ht="12.75">
      <c r="J283" s="684" t="str">
        <f t="shared" si="4"/>
        <v/>
      </c>
    </row>
    <row r="284" ht="12.75">
      <c r="J284" s="684" t="str">
        <f t="shared" si="4"/>
        <v/>
      </c>
    </row>
    <row r="285" ht="12.75">
      <c r="J285" s="684" t="str">
        <f t="shared" si="4"/>
        <v/>
      </c>
    </row>
    <row r="286" ht="12.75">
      <c r="J286" s="684" t="str">
        <f t="shared" si="4"/>
        <v/>
      </c>
    </row>
    <row r="287" ht="12.75">
      <c r="J287" s="684" t="str">
        <f t="shared" si="4"/>
        <v/>
      </c>
    </row>
    <row r="288" ht="12.75">
      <c r="J288" s="684" t="str">
        <f t="shared" si="4"/>
        <v/>
      </c>
    </row>
    <row r="289" ht="12.75">
      <c r="J289" s="684" t="str">
        <f t="shared" si="4"/>
        <v/>
      </c>
    </row>
    <row r="290" ht="12.75">
      <c r="J290" s="684" t="str">
        <f t="shared" si="4"/>
        <v/>
      </c>
    </row>
    <row r="291" ht="12.75">
      <c r="J291" s="684" t="str">
        <f t="shared" si="4"/>
        <v/>
      </c>
    </row>
    <row r="292" ht="12.75">
      <c r="J292" s="684" t="str">
        <f t="shared" si="4"/>
        <v/>
      </c>
    </row>
    <row r="293" ht="12.75">
      <c r="J293" s="684" t="str">
        <f t="shared" si="4"/>
        <v/>
      </c>
    </row>
    <row r="294" ht="12.75">
      <c r="J294" s="684" t="str">
        <f t="shared" si="4"/>
        <v/>
      </c>
    </row>
    <row r="295" ht="12.75">
      <c r="J295" s="684" t="str">
        <f t="shared" si="4"/>
        <v/>
      </c>
    </row>
    <row r="296" ht="12.75">
      <c r="J296" s="684" t="str">
        <f t="shared" si="4"/>
        <v/>
      </c>
    </row>
    <row r="297" ht="12.75">
      <c r="J297" s="684" t="str">
        <f t="shared" si="4"/>
        <v/>
      </c>
    </row>
    <row r="298" ht="12.75">
      <c r="J298" s="684" t="str">
        <f t="shared" si="4"/>
        <v/>
      </c>
    </row>
    <row r="299" ht="12.75">
      <c r="J299" s="684" t="str">
        <f t="shared" si="4"/>
        <v/>
      </c>
    </row>
    <row r="300" ht="12.75">
      <c r="J300" s="684" t="str">
        <f t="shared" si="4"/>
        <v/>
      </c>
    </row>
    <row r="301" ht="12.75">
      <c r="J301" s="684" t="str">
        <f t="shared" si="4"/>
        <v/>
      </c>
    </row>
    <row r="302" ht="12.75">
      <c r="J302" s="684" t="str">
        <f t="shared" si="4"/>
        <v/>
      </c>
    </row>
    <row r="303" ht="12.75">
      <c r="J303" s="684" t="str">
        <f t="shared" si="4"/>
        <v/>
      </c>
    </row>
    <row r="304" ht="12.75">
      <c r="J304" s="684" t="str">
        <f t="shared" si="4"/>
        <v/>
      </c>
    </row>
    <row r="305" ht="12.75">
      <c r="J305" s="684" t="str">
        <f t="shared" si="4"/>
        <v/>
      </c>
    </row>
    <row r="306" ht="12.75">
      <c r="J306" s="684" t="str">
        <f t="shared" si="4"/>
        <v/>
      </c>
    </row>
    <row r="307" ht="12.75">
      <c r="J307" s="684" t="str">
        <f t="shared" si="4"/>
        <v/>
      </c>
    </row>
    <row r="308" ht="12.75">
      <c r="J308" s="684" t="str">
        <f t="shared" si="4"/>
        <v/>
      </c>
    </row>
    <row r="309" ht="12.75">
      <c r="J309" s="684" t="str">
        <f t="shared" si="4"/>
        <v/>
      </c>
    </row>
    <row r="310" ht="12.75">
      <c r="J310" s="684" t="str">
        <f t="shared" si="4"/>
        <v/>
      </c>
    </row>
    <row r="311" ht="12.75">
      <c r="J311" s="684" t="str">
        <f t="shared" si="4"/>
        <v/>
      </c>
    </row>
    <row r="312" ht="12.75">
      <c r="J312" s="684" t="str">
        <f t="shared" si="4"/>
        <v/>
      </c>
    </row>
    <row r="313" ht="12.75">
      <c r="J313" s="684" t="str">
        <f t="shared" si="4"/>
        <v/>
      </c>
    </row>
    <row r="314" ht="12.75">
      <c r="J314" s="684" t="str">
        <f t="shared" si="4"/>
        <v/>
      </c>
    </row>
    <row r="315" ht="12.75">
      <c r="J315" s="684" t="str">
        <f t="shared" si="4"/>
        <v/>
      </c>
    </row>
    <row r="316" ht="12.75">
      <c r="J316" s="684" t="str">
        <f t="shared" si="4"/>
        <v/>
      </c>
    </row>
    <row r="317" ht="12.75">
      <c r="J317" s="684" t="str">
        <f t="shared" si="4"/>
        <v/>
      </c>
    </row>
    <row r="318" ht="12.75">
      <c r="J318" s="684" t="str">
        <f t="shared" si="4"/>
        <v/>
      </c>
    </row>
    <row r="319" ht="12.75">
      <c r="J319" s="684" t="str">
        <f t="shared" si="4"/>
        <v/>
      </c>
    </row>
    <row r="320" ht="12.75">
      <c r="J320" s="684" t="str">
        <f t="shared" si="4"/>
        <v/>
      </c>
    </row>
    <row r="321" ht="12.75">
      <c r="J321" s="684" t="str">
        <f t="shared" si="4"/>
        <v/>
      </c>
    </row>
    <row r="322" ht="12.75">
      <c r="J322" s="684" t="str">
        <f t="shared" si="4"/>
        <v/>
      </c>
    </row>
    <row r="323" ht="12.75">
      <c r="J323" s="684" t="str">
        <f aca="true" t="shared" si="5" ref="J323:J377">IF(H323=0,"",F323*0.22)</f>
        <v/>
      </c>
    </row>
    <row r="324" ht="12.75">
      <c r="J324" s="684" t="str">
        <f t="shared" si="5"/>
        <v/>
      </c>
    </row>
    <row r="325" ht="12.75">
      <c r="J325" s="684" t="str">
        <f t="shared" si="5"/>
        <v/>
      </c>
    </row>
    <row r="326" ht="12.75">
      <c r="J326" s="684" t="str">
        <f t="shared" si="5"/>
        <v/>
      </c>
    </row>
    <row r="327" ht="12.75">
      <c r="J327" s="684" t="str">
        <f t="shared" si="5"/>
        <v/>
      </c>
    </row>
    <row r="328" ht="12.75">
      <c r="J328" s="684" t="str">
        <f t="shared" si="5"/>
        <v/>
      </c>
    </row>
    <row r="329" ht="12.75">
      <c r="J329" s="684" t="str">
        <f t="shared" si="5"/>
        <v/>
      </c>
    </row>
    <row r="330" ht="12.75">
      <c r="J330" s="684" t="str">
        <f t="shared" si="5"/>
        <v/>
      </c>
    </row>
    <row r="331" ht="12.75">
      <c r="J331" s="684" t="str">
        <f t="shared" si="5"/>
        <v/>
      </c>
    </row>
    <row r="332" ht="12.75">
      <c r="J332" s="684" t="str">
        <f t="shared" si="5"/>
        <v/>
      </c>
    </row>
    <row r="333" ht="12.75">
      <c r="J333" s="684" t="str">
        <f t="shared" si="5"/>
        <v/>
      </c>
    </row>
    <row r="334" ht="12.75">
      <c r="J334" s="684" t="str">
        <f t="shared" si="5"/>
        <v/>
      </c>
    </row>
    <row r="335" ht="12.75">
      <c r="J335" s="684" t="str">
        <f t="shared" si="5"/>
        <v/>
      </c>
    </row>
    <row r="336" ht="12.75">
      <c r="J336" s="684" t="str">
        <f t="shared" si="5"/>
        <v/>
      </c>
    </row>
    <row r="337" ht="12.75">
      <c r="J337" s="684" t="str">
        <f t="shared" si="5"/>
        <v/>
      </c>
    </row>
    <row r="338" ht="12.75">
      <c r="J338" s="684" t="str">
        <f t="shared" si="5"/>
        <v/>
      </c>
    </row>
    <row r="339" ht="12.75">
      <c r="J339" s="684" t="str">
        <f t="shared" si="5"/>
        <v/>
      </c>
    </row>
    <row r="340" ht="12.75">
      <c r="J340" s="684" t="str">
        <f t="shared" si="5"/>
        <v/>
      </c>
    </row>
    <row r="341" ht="12.75">
      <c r="J341" s="684" t="str">
        <f t="shared" si="5"/>
        <v/>
      </c>
    </row>
    <row r="342" ht="12.75">
      <c r="J342" s="684" t="str">
        <f t="shared" si="5"/>
        <v/>
      </c>
    </row>
    <row r="343" ht="12.75">
      <c r="J343" s="684" t="str">
        <f t="shared" si="5"/>
        <v/>
      </c>
    </row>
    <row r="344" ht="12.75">
      <c r="J344" s="684" t="str">
        <f t="shared" si="5"/>
        <v/>
      </c>
    </row>
    <row r="345" ht="12.75">
      <c r="J345" s="684" t="str">
        <f t="shared" si="5"/>
        <v/>
      </c>
    </row>
    <row r="346" ht="12.75">
      <c r="J346" s="684" t="str">
        <f t="shared" si="5"/>
        <v/>
      </c>
    </row>
    <row r="347" ht="12.75">
      <c r="J347" s="684" t="str">
        <f t="shared" si="5"/>
        <v/>
      </c>
    </row>
    <row r="348" ht="12.75">
      <c r="J348" s="684" t="str">
        <f t="shared" si="5"/>
        <v/>
      </c>
    </row>
    <row r="349" ht="12.75">
      <c r="J349" s="684" t="str">
        <f t="shared" si="5"/>
        <v/>
      </c>
    </row>
    <row r="350" ht="12.75">
      <c r="J350" s="684" t="str">
        <f t="shared" si="5"/>
        <v/>
      </c>
    </row>
    <row r="351" ht="12.75">
      <c r="J351" s="684" t="str">
        <f t="shared" si="5"/>
        <v/>
      </c>
    </row>
    <row r="352" ht="12.75">
      <c r="J352" s="684" t="str">
        <f t="shared" si="5"/>
        <v/>
      </c>
    </row>
    <row r="353" ht="12.75">
      <c r="J353" s="684" t="str">
        <f t="shared" si="5"/>
        <v/>
      </c>
    </row>
    <row r="354" ht="12.75">
      <c r="J354" s="684" t="str">
        <f t="shared" si="5"/>
        <v/>
      </c>
    </row>
    <row r="355" ht="12.75">
      <c r="J355" s="684" t="str">
        <f t="shared" si="5"/>
        <v/>
      </c>
    </row>
    <row r="356" ht="12.75">
      <c r="J356" s="684" t="str">
        <f t="shared" si="5"/>
        <v/>
      </c>
    </row>
    <row r="357" ht="12.75">
      <c r="J357" s="684" t="str">
        <f t="shared" si="5"/>
        <v/>
      </c>
    </row>
    <row r="358" ht="12.75">
      <c r="J358" s="684" t="str">
        <f t="shared" si="5"/>
        <v/>
      </c>
    </row>
    <row r="359" ht="12.75">
      <c r="J359" s="684" t="str">
        <f t="shared" si="5"/>
        <v/>
      </c>
    </row>
    <row r="360" ht="12.75">
      <c r="J360" s="684" t="str">
        <f t="shared" si="5"/>
        <v/>
      </c>
    </row>
    <row r="361" ht="12.75">
      <c r="J361" s="684" t="str">
        <f t="shared" si="5"/>
        <v/>
      </c>
    </row>
    <row r="362" ht="12.75">
      <c r="J362" s="684" t="str">
        <f t="shared" si="5"/>
        <v/>
      </c>
    </row>
    <row r="363" ht="12.75">
      <c r="J363" s="684" t="str">
        <f t="shared" si="5"/>
        <v/>
      </c>
    </row>
    <row r="364" ht="12.75">
      <c r="J364" s="684" t="str">
        <f t="shared" si="5"/>
        <v/>
      </c>
    </row>
    <row r="365" ht="12.75">
      <c r="J365" s="684" t="str">
        <f t="shared" si="5"/>
        <v/>
      </c>
    </row>
    <row r="366" ht="12.75">
      <c r="J366" s="684" t="str">
        <f t="shared" si="5"/>
        <v/>
      </c>
    </row>
    <row r="367" ht="12.75">
      <c r="J367" s="684" t="str">
        <f t="shared" si="5"/>
        <v/>
      </c>
    </row>
    <row r="368" ht="12.75">
      <c r="J368" s="684" t="str">
        <f t="shared" si="5"/>
        <v/>
      </c>
    </row>
    <row r="369" ht="12.75">
      <c r="J369" s="684" t="str">
        <f t="shared" si="5"/>
        <v/>
      </c>
    </row>
    <row r="370" ht="12.75">
      <c r="J370" s="684" t="str">
        <f t="shared" si="5"/>
        <v/>
      </c>
    </row>
    <row r="371" ht="12.75">
      <c r="J371" s="684" t="str">
        <f t="shared" si="5"/>
        <v/>
      </c>
    </row>
    <row r="372" ht="12.75">
      <c r="J372" s="684" t="str">
        <f t="shared" si="5"/>
        <v/>
      </c>
    </row>
    <row r="373" ht="12.75">
      <c r="J373" s="684" t="str">
        <f t="shared" si="5"/>
        <v/>
      </c>
    </row>
    <row r="374" ht="12.75">
      <c r="J374" s="684" t="str">
        <f t="shared" si="5"/>
        <v/>
      </c>
    </row>
    <row r="375" ht="12.75">
      <c r="J375" s="684" t="str">
        <f t="shared" si="5"/>
        <v/>
      </c>
    </row>
    <row r="376" ht="12.75">
      <c r="J376" s="684" t="str">
        <f t="shared" si="5"/>
        <v/>
      </c>
    </row>
    <row r="377" ht="12.75">
      <c r="J377" s="684" t="str">
        <f t="shared" si="5"/>
        <v/>
      </c>
    </row>
  </sheetData>
  <printOptions/>
  <pageMargins left="0.59" right="0.39" top="0.984251968503937" bottom="0.984251968503937" header="0.5118110236220472" footer="0.61"/>
  <pageSetup horizontalDpi="300" verticalDpi="300" orientation="portrait" paperSize="9" r:id="rId1"/>
  <headerFooter alignWithMargins="0">
    <oddFooter>&amp;C&amp;"Times New Roman,Obyčejné"&amp;9Stránka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86"/>
  <sheetViews>
    <sheetView showGridLines="0" workbookViewId="0" topLeftCell="A1"/>
  </sheetViews>
  <sheetFormatPr defaultColWidth="9.00390625" defaultRowHeight="12.75"/>
  <cols>
    <col min="1" max="1" width="8.50390625" style="0" customWidth="1"/>
    <col min="2" max="2" width="35.00390625" style="0" customWidth="1"/>
    <col min="3" max="3" width="8.375" style="0" customWidth="1"/>
    <col min="4" max="4" width="15.00390625" style="0" customWidth="1"/>
    <col min="5" max="5" width="14.125" style="0" customWidth="1"/>
    <col min="10" max="10" width="8.625" style="0" customWidth="1"/>
  </cols>
  <sheetData>
    <row r="1" spans="1:5" s="653" customFormat="1" ht="21.75" customHeight="1" thickBot="1">
      <c r="A1" s="724" t="s">
        <v>1151</v>
      </c>
      <c r="B1" s="651"/>
      <c r="C1" s="652"/>
      <c r="E1" s="725"/>
    </row>
    <row r="2" spans="1:5" s="729" customFormat="1" ht="33" customHeight="1" thickBot="1">
      <c r="A2" s="655" t="s">
        <v>1152</v>
      </c>
      <c r="B2" s="726" t="s">
        <v>1153</v>
      </c>
      <c r="C2" s="727" t="s">
        <v>1154</v>
      </c>
      <c r="D2" s="726" t="s">
        <v>72</v>
      </c>
      <c r="E2" s="728" t="s">
        <v>71</v>
      </c>
    </row>
    <row r="3" spans="1:5" ht="12.75">
      <c r="A3" s="659"/>
      <c r="B3" s="660"/>
      <c r="C3" s="661"/>
      <c r="D3" s="662"/>
      <c r="E3" s="663"/>
    </row>
    <row r="4" spans="1:5" ht="12.75">
      <c r="A4" s="664" t="s">
        <v>141</v>
      </c>
      <c r="B4" s="660" t="s">
        <v>1472</v>
      </c>
      <c r="C4" s="661" t="s">
        <v>1157</v>
      </c>
      <c r="D4" s="662"/>
      <c r="E4" s="663"/>
    </row>
    <row r="5" spans="1:5" ht="12.75">
      <c r="A5" s="664"/>
      <c r="B5" s="660" t="s">
        <v>1473</v>
      </c>
      <c r="C5" s="661"/>
      <c r="D5" s="662"/>
      <c r="E5" s="663"/>
    </row>
    <row r="6" spans="1:5" ht="12.75">
      <c r="A6" s="664"/>
      <c r="B6" s="660" t="s">
        <v>1474</v>
      </c>
      <c r="C6" s="661"/>
      <c r="D6" s="662"/>
      <c r="E6" s="663"/>
    </row>
    <row r="7" spans="1:5" ht="12.75">
      <c r="A7" s="664"/>
      <c r="B7" s="660" t="s">
        <v>1158</v>
      </c>
      <c r="C7" s="661"/>
      <c r="D7" s="662"/>
      <c r="E7" s="663"/>
    </row>
    <row r="8" spans="1:5" ht="12.75">
      <c r="A8" s="664"/>
      <c r="B8" s="660" t="s">
        <v>1159</v>
      </c>
      <c r="C8" s="661"/>
      <c r="D8" s="662"/>
      <c r="E8" s="663"/>
    </row>
    <row r="9" spans="1:5" ht="12.75">
      <c r="A9" s="664"/>
      <c r="B9" s="660" t="s">
        <v>1160</v>
      </c>
      <c r="C9" s="661"/>
      <c r="D9" s="662"/>
      <c r="E9" s="663"/>
    </row>
    <row r="10" spans="1:5" ht="12.75">
      <c r="A10" s="664"/>
      <c r="B10" s="660" t="s">
        <v>1475</v>
      </c>
      <c r="C10" s="661" t="s">
        <v>1157</v>
      </c>
      <c r="D10" s="662"/>
      <c r="E10" s="663"/>
    </row>
    <row r="11" spans="1:5" ht="12.75">
      <c r="A11" s="664"/>
      <c r="B11" s="665"/>
      <c r="C11" s="661"/>
      <c r="D11" s="662"/>
      <c r="E11" s="663"/>
    </row>
    <row r="12" spans="1:5" ht="12.75">
      <c r="A12" s="664" t="s">
        <v>183</v>
      </c>
      <c r="B12" s="660" t="s">
        <v>1476</v>
      </c>
      <c r="C12" s="661" t="s">
        <v>1163</v>
      </c>
      <c r="D12" s="662"/>
      <c r="E12" s="663"/>
    </row>
    <row r="13" spans="1:5" ht="12.75">
      <c r="A13" s="664"/>
      <c r="B13" s="660"/>
      <c r="C13" s="661"/>
      <c r="D13" s="662"/>
      <c r="E13" s="663"/>
    </row>
    <row r="14" spans="1:5" ht="12.75">
      <c r="A14" s="664" t="s">
        <v>188</v>
      </c>
      <c r="B14" s="660" t="s">
        <v>1164</v>
      </c>
      <c r="C14" s="661" t="s">
        <v>1157</v>
      </c>
      <c r="D14" s="662"/>
      <c r="E14" s="663"/>
    </row>
    <row r="15" spans="1:5" ht="12.75">
      <c r="A15" s="664"/>
      <c r="B15" s="660" t="s">
        <v>1166</v>
      </c>
      <c r="C15" s="661"/>
      <c r="D15" s="662"/>
      <c r="E15" s="663"/>
    </row>
    <row r="16" spans="1:5" ht="12.75">
      <c r="A16" s="664"/>
      <c r="B16" s="660" t="s">
        <v>1477</v>
      </c>
      <c r="C16" s="661"/>
      <c r="D16" s="662"/>
      <c r="E16" s="663"/>
    </row>
    <row r="17" spans="1:5" ht="12.75">
      <c r="A17" s="664"/>
      <c r="B17" s="660"/>
      <c r="C17" s="661"/>
      <c r="D17" s="662"/>
      <c r="E17" s="663"/>
    </row>
    <row r="18" spans="1:5" ht="12.75">
      <c r="A18" s="664" t="s">
        <v>463</v>
      </c>
      <c r="B18" s="660" t="s">
        <v>1164</v>
      </c>
      <c r="C18" s="661" t="s">
        <v>1157</v>
      </c>
      <c r="D18" s="662"/>
      <c r="E18" s="663"/>
    </row>
    <row r="19" spans="1:5" ht="12.75">
      <c r="A19" s="664"/>
      <c r="B19" s="660" t="s">
        <v>1166</v>
      </c>
      <c r="C19" s="661"/>
      <c r="D19" s="662"/>
      <c r="E19" s="663"/>
    </row>
    <row r="20" spans="1:5" ht="12.75">
      <c r="A20" s="664"/>
      <c r="B20" s="660" t="s">
        <v>1478</v>
      </c>
      <c r="C20" s="661"/>
      <c r="D20" s="662"/>
      <c r="E20" s="663"/>
    </row>
    <row r="21" spans="1:5" ht="12.75">
      <c r="A21" s="664"/>
      <c r="B21" s="660"/>
      <c r="C21" s="661"/>
      <c r="D21" s="662"/>
      <c r="E21" s="663"/>
    </row>
    <row r="22" spans="1:5" ht="12.75">
      <c r="A22" s="664" t="s">
        <v>462</v>
      </c>
      <c r="B22" s="660" t="s">
        <v>1164</v>
      </c>
      <c r="C22" s="661" t="s">
        <v>1157</v>
      </c>
      <c r="D22" s="662"/>
      <c r="E22" s="663"/>
    </row>
    <row r="23" spans="1:5" ht="12.75">
      <c r="A23" s="664"/>
      <c r="B23" s="660" t="s">
        <v>1479</v>
      </c>
      <c r="C23" s="661"/>
      <c r="D23" s="662"/>
      <c r="E23" s="663"/>
    </row>
    <row r="24" spans="1:5" ht="12.75">
      <c r="A24" s="664"/>
      <c r="B24" s="660" t="s">
        <v>1480</v>
      </c>
      <c r="C24" s="661"/>
      <c r="D24" s="662"/>
      <c r="E24" s="663"/>
    </row>
    <row r="25" spans="1:5" ht="12.75">
      <c r="A25" s="664"/>
      <c r="B25" s="660"/>
      <c r="C25" s="661"/>
      <c r="D25" s="662"/>
      <c r="E25" s="663"/>
    </row>
    <row r="26" spans="1:5" ht="12.75">
      <c r="A26" s="664" t="s">
        <v>461</v>
      </c>
      <c r="B26" s="660" t="s">
        <v>1164</v>
      </c>
      <c r="C26" s="661" t="s">
        <v>1157</v>
      </c>
      <c r="D26" s="662"/>
      <c r="E26" s="663"/>
    </row>
    <row r="27" spans="1:5" ht="12.75">
      <c r="A27" s="664"/>
      <c r="B27" s="660" t="s">
        <v>1479</v>
      </c>
      <c r="C27" s="661"/>
      <c r="D27" s="662"/>
      <c r="E27" s="663"/>
    </row>
    <row r="28" spans="1:5" ht="12.75">
      <c r="A28" s="664"/>
      <c r="B28" s="660" t="s">
        <v>1481</v>
      </c>
      <c r="C28" s="661"/>
      <c r="D28" s="662"/>
      <c r="E28" s="663"/>
    </row>
    <row r="29" spans="1:5" ht="12.75">
      <c r="A29" s="664"/>
      <c r="B29" s="660"/>
      <c r="C29" s="661"/>
      <c r="D29" s="662"/>
      <c r="E29" s="663"/>
    </row>
    <row r="30" spans="1:5" ht="12.75">
      <c r="A30" s="664" t="s">
        <v>460</v>
      </c>
      <c r="B30" s="660" t="s">
        <v>1169</v>
      </c>
      <c r="C30" s="661" t="s">
        <v>1482</v>
      </c>
      <c r="D30" s="662"/>
      <c r="E30" s="663"/>
    </row>
    <row r="31" spans="1:5" ht="12.75">
      <c r="A31" s="664"/>
      <c r="B31" s="660" t="s">
        <v>1166</v>
      </c>
      <c r="C31" s="661"/>
      <c r="D31" s="662"/>
      <c r="E31" s="663"/>
    </row>
    <row r="32" spans="1:5" ht="12.75">
      <c r="A32" s="664"/>
      <c r="B32" s="660" t="s">
        <v>1478</v>
      </c>
      <c r="C32" s="661"/>
      <c r="D32" s="662"/>
      <c r="E32" s="663"/>
    </row>
    <row r="33" spans="1:5" ht="12.75">
      <c r="A33" s="664"/>
      <c r="B33" s="660"/>
      <c r="C33" s="661"/>
      <c r="D33" s="662"/>
      <c r="E33" s="663"/>
    </row>
    <row r="34" spans="1:5" ht="12.75">
      <c r="A34" s="664" t="s">
        <v>459</v>
      </c>
      <c r="B34" s="660" t="s">
        <v>1169</v>
      </c>
      <c r="C34" s="661" t="s">
        <v>1483</v>
      </c>
      <c r="D34" s="662"/>
      <c r="E34" s="663"/>
    </row>
    <row r="35" spans="1:5" ht="12.75">
      <c r="A35" s="664"/>
      <c r="B35" s="660" t="s">
        <v>1479</v>
      </c>
      <c r="C35" s="661"/>
      <c r="D35" s="662"/>
      <c r="E35" s="663"/>
    </row>
    <row r="36" spans="1:5" ht="12.75">
      <c r="A36" s="664"/>
      <c r="B36" s="660" t="s">
        <v>1480</v>
      </c>
      <c r="C36" s="661"/>
      <c r="D36" s="662"/>
      <c r="E36" s="663"/>
    </row>
    <row r="37" spans="1:5" ht="12.75">
      <c r="A37" s="664"/>
      <c r="B37" s="660"/>
      <c r="C37" s="661"/>
      <c r="D37" s="662"/>
      <c r="E37" s="663"/>
    </row>
    <row r="38" spans="1:5" ht="12.75">
      <c r="A38" s="664" t="s">
        <v>458</v>
      </c>
      <c r="B38" s="660" t="s">
        <v>1484</v>
      </c>
      <c r="C38" s="661" t="s">
        <v>1157</v>
      </c>
      <c r="D38" s="662"/>
      <c r="E38" s="663"/>
    </row>
    <row r="39" spans="1:5" ht="12.75">
      <c r="A39" s="664"/>
      <c r="B39" s="660" t="s">
        <v>1485</v>
      </c>
      <c r="C39" s="661"/>
      <c r="D39" s="662"/>
      <c r="E39" s="663"/>
    </row>
    <row r="40" spans="1:5" ht="15" customHeight="1">
      <c r="A40" s="664"/>
      <c r="B40" s="660"/>
      <c r="C40" s="661"/>
      <c r="D40" s="662"/>
      <c r="E40" s="663"/>
    </row>
    <row r="41" spans="1:5" ht="15" customHeight="1">
      <c r="A41" s="664" t="s">
        <v>26</v>
      </c>
      <c r="B41" s="660" t="s">
        <v>1486</v>
      </c>
      <c r="C41" s="661" t="s">
        <v>1157</v>
      </c>
      <c r="D41" s="662"/>
      <c r="E41" s="663"/>
    </row>
    <row r="42" spans="1:5" ht="15" customHeight="1">
      <c r="A42" s="664"/>
      <c r="B42" s="660" t="s">
        <v>1487</v>
      </c>
      <c r="C42" s="661"/>
      <c r="D42" s="662"/>
      <c r="E42" s="663"/>
    </row>
    <row r="43" spans="1:5" ht="15" customHeight="1">
      <c r="A43" s="664"/>
      <c r="B43" s="660"/>
      <c r="C43" s="661"/>
      <c r="D43" s="662"/>
      <c r="E43" s="663"/>
    </row>
    <row r="44" spans="1:5" ht="15" customHeight="1">
      <c r="A44" s="664" t="s">
        <v>177</v>
      </c>
      <c r="B44" s="660" t="s">
        <v>1488</v>
      </c>
      <c r="C44" s="661" t="s">
        <v>1165</v>
      </c>
      <c r="D44" s="662"/>
      <c r="E44" s="663"/>
    </row>
    <row r="45" spans="1:5" ht="15" customHeight="1">
      <c r="A45" s="664"/>
      <c r="B45" s="660"/>
      <c r="C45" s="661"/>
      <c r="D45" s="662"/>
      <c r="E45" s="663"/>
    </row>
    <row r="46" spans="1:5" ht="15" customHeight="1">
      <c r="A46" s="664" t="s">
        <v>27</v>
      </c>
      <c r="B46" s="660" t="s">
        <v>1489</v>
      </c>
      <c r="C46" s="661"/>
      <c r="D46" s="662"/>
      <c r="E46" s="663"/>
    </row>
    <row r="47" spans="1:5" ht="15" customHeight="1">
      <c r="A47" s="664"/>
      <c r="B47" s="660"/>
      <c r="C47" s="661"/>
      <c r="D47" s="662"/>
      <c r="E47" s="663"/>
    </row>
    <row r="48" spans="1:5" ht="15" customHeight="1">
      <c r="A48" s="664" t="s">
        <v>1490</v>
      </c>
      <c r="B48" s="660" t="s">
        <v>1489</v>
      </c>
      <c r="C48" s="661"/>
      <c r="D48" s="662"/>
      <c r="E48" s="663"/>
    </row>
    <row r="49" spans="1:5" ht="12.75">
      <c r="A49" s="664"/>
      <c r="B49" s="660"/>
      <c r="C49" s="661"/>
      <c r="D49" s="662"/>
      <c r="E49" s="663"/>
    </row>
    <row r="50" spans="1:5" ht="13.8" thickBot="1">
      <c r="A50" s="672"/>
      <c r="B50" s="673"/>
      <c r="C50" s="674"/>
      <c r="D50" s="675"/>
      <c r="E50" s="676"/>
    </row>
    <row r="51" spans="1:5" ht="12.75">
      <c r="A51" s="730"/>
      <c r="B51" s="731"/>
      <c r="C51" s="661"/>
      <c r="D51" s="661"/>
      <c r="E51" s="661"/>
    </row>
    <row r="52" spans="1:5" ht="12.75">
      <c r="A52" s="730"/>
      <c r="B52" s="731"/>
      <c r="C52" s="661"/>
      <c r="D52" s="661"/>
      <c r="E52" s="661"/>
    </row>
    <row r="54" spans="1:5" s="653" customFormat="1" ht="21.75" customHeight="1" thickBot="1">
      <c r="A54" s="724" t="s">
        <v>1151</v>
      </c>
      <c r="B54" s="651"/>
      <c r="C54" s="652"/>
      <c r="E54" s="725"/>
    </row>
    <row r="55" spans="1:5" s="729" customFormat="1" ht="33" customHeight="1" thickBot="1">
      <c r="A55" s="655" t="s">
        <v>1152</v>
      </c>
      <c r="B55" s="726" t="s">
        <v>1153</v>
      </c>
      <c r="C55" s="727" t="s">
        <v>1154</v>
      </c>
      <c r="D55" s="726" t="s">
        <v>72</v>
      </c>
      <c r="E55" s="728" t="s">
        <v>71</v>
      </c>
    </row>
    <row r="56" spans="1:5" ht="12.75">
      <c r="A56" s="659"/>
      <c r="B56" s="660"/>
      <c r="C56" s="661"/>
      <c r="D56" s="662"/>
      <c r="E56" s="663"/>
    </row>
    <row r="57" spans="1:5" ht="12.75">
      <c r="A57" s="664"/>
      <c r="B57" s="660"/>
      <c r="C57" s="661"/>
      <c r="D57" s="662"/>
      <c r="E57" s="663"/>
    </row>
    <row r="58" spans="1:5" ht="12.75">
      <c r="A58" s="664" t="s">
        <v>1491</v>
      </c>
      <c r="B58" s="665" t="s">
        <v>1173</v>
      </c>
      <c r="C58" s="661" t="s">
        <v>1492</v>
      </c>
      <c r="D58" s="662"/>
      <c r="E58" s="663"/>
    </row>
    <row r="59" spans="1:5" ht="12.75">
      <c r="A59" s="664"/>
      <c r="B59" s="660" t="s">
        <v>1175</v>
      </c>
      <c r="C59" s="661"/>
      <c r="D59" s="662"/>
      <c r="E59" s="663"/>
    </row>
    <row r="60" spans="1:5" ht="12.75">
      <c r="A60" s="664"/>
      <c r="B60" s="660" t="s">
        <v>1493</v>
      </c>
      <c r="C60" s="661"/>
      <c r="D60" s="662"/>
      <c r="E60" s="663"/>
    </row>
    <row r="61" spans="1:5" ht="12.75">
      <c r="A61" s="664"/>
      <c r="B61" s="660"/>
      <c r="C61" s="661"/>
      <c r="D61" s="662"/>
      <c r="E61" s="663"/>
    </row>
    <row r="62" spans="1:5" ht="12.75">
      <c r="A62" s="664" t="s">
        <v>1494</v>
      </c>
      <c r="B62" s="660" t="s">
        <v>1495</v>
      </c>
      <c r="C62" s="661"/>
      <c r="D62" s="662"/>
      <c r="E62" s="663"/>
    </row>
    <row r="63" spans="1:5" ht="12.75">
      <c r="A63" s="664"/>
      <c r="B63" s="660" t="s">
        <v>1177</v>
      </c>
      <c r="C63" s="661"/>
      <c r="D63" s="662"/>
      <c r="E63" s="663"/>
    </row>
    <row r="64" spans="1:5" ht="12.75">
      <c r="A64" s="664"/>
      <c r="B64" s="660" t="s">
        <v>1493</v>
      </c>
      <c r="C64" s="661"/>
      <c r="D64" s="662"/>
      <c r="E64" s="663"/>
    </row>
    <row r="65" spans="1:5" ht="12.75">
      <c r="A65" s="664"/>
      <c r="B65" s="660" t="s">
        <v>1496</v>
      </c>
      <c r="C65" s="661" t="s">
        <v>1497</v>
      </c>
      <c r="D65" s="662"/>
      <c r="E65" s="663"/>
    </row>
    <row r="66" spans="1:5" ht="12.75">
      <c r="A66" s="664"/>
      <c r="B66" s="660" t="s">
        <v>1180</v>
      </c>
      <c r="C66" s="661" t="s">
        <v>1498</v>
      </c>
      <c r="D66" s="662"/>
      <c r="E66" s="663"/>
    </row>
    <row r="67" spans="1:5" ht="12.75">
      <c r="A67" s="664"/>
      <c r="B67" s="660" t="s">
        <v>1182</v>
      </c>
      <c r="C67" s="661" t="s">
        <v>1183</v>
      </c>
      <c r="D67" s="662"/>
      <c r="E67" s="663"/>
    </row>
    <row r="68" spans="1:5" ht="12.75">
      <c r="A68" s="664"/>
      <c r="B68" s="660"/>
      <c r="C68" s="661"/>
      <c r="D68" s="662"/>
      <c r="E68" s="663"/>
    </row>
    <row r="69" spans="1:5" ht="12.75">
      <c r="A69" s="664"/>
      <c r="B69" s="666" t="s">
        <v>1499</v>
      </c>
      <c r="C69" s="661"/>
      <c r="D69" s="662"/>
      <c r="E69" s="663"/>
    </row>
    <row r="70" spans="1:5" ht="12.75">
      <c r="A70" s="664"/>
      <c r="B70" s="660" t="s">
        <v>1500</v>
      </c>
      <c r="C70" s="661" t="s">
        <v>1501</v>
      </c>
      <c r="D70" s="662"/>
      <c r="E70" s="663"/>
    </row>
    <row r="71" spans="1:5" ht="12.75">
      <c r="A71" s="664"/>
      <c r="B71" s="660" t="s">
        <v>1502</v>
      </c>
      <c r="C71" s="661"/>
      <c r="D71" s="662"/>
      <c r="E71" s="663"/>
    </row>
    <row r="72" spans="1:5" ht="12.75">
      <c r="A72" s="664"/>
      <c r="B72" s="665"/>
      <c r="C72" s="661"/>
      <c r="D72" s="662"/>
      <c r="E72" s="663"/>
    </row>
    <row r="73" spans="1:5" ht="12.75">
      <c r="A73" s="664"/>
      <c r="B73" s="665"/>
      <c r="C73" s="661"/>
      <c r="D73" s="662"/>
      <c r="E73" s="663"/>
    </row>
    <row r="74" spans="1:5" ht="12.75">
      <c r="A74" s="664"/>
      <c r="B74" s="667" t="s">
        <v>72</v>
      </c>
      <c r="C74" s="668"/>
      <c r="D74" s="671">
        <v>0</v>
      </c>
      <c r="E74" s="671"/>
    </row>
    <row r="75" spans="1:5" ht="12.75">
      <c r="A75" s="664"/>
      <c r="B75" s="667" t="s">
        <v>71</v>
      </c>
      <c r="C75" s="668"/>
      <c r="D75" s="671">
        <v>0</v>
      </c>
      <c r="E75" s="671"/>
    </row>
    <row r="76" spans="1:5" ht="12.75">
      <c r="A76" s="664"/>
      <c r="B76" s="667" t="s">
        <v>1095</v>
      </c>
      <c r="C76" s="668"/>
      <c r="D76" s="671">
        <v>0</v>
      </c>
      <c r="E76" s="671"/>
    </row>
    <row r="77" spans="1:5" ht="12.75">
      <c r="A77" s="664"/>
      <c r="B77" s="670" t="s">
        <v>1187</v>
      </c>
      <c r="C77" s="668"/>
      <c r="D77" s="671">
        <v>0</v>
      </c>
      <c r="E77" s="671"/>
    </row>
    <row r="78" spans="1:5" ht="12.75">
      <c r="A78" s="664"/>
      <c r="B78" s="670"/>
      <c r="C78" s="668"/>
      <c r="D78" s="671"/>
      <c r="E78" s="663"/>
    </row>
    <row r="79" spans="1:5" ht="12.75">
      <c r="A79" s="664"/>
      <c r="B79" s="665" t="s">
        <v>1503</v>
      </c>
      <c r="C79" s="661"/>
      <c r="D79" s="662">
        <v>0</v>
      </c>
      <c r="E79" s="663"/>
    </row>
    <row r="80" spans="1:5" ht="12.75">
      <c r="A80" s="664"/>
      <c r="B80" s="667"/>
      <c r="C80" s="668"/>
      <c r="D80" s="671"/>
      <c r="E80" s="663"/>
    </row>
    <row r="81" spans="1:5" ht="12.75">
      <c r="A81" s="664"/>
      <c r="B81" s="667"/>
      <c r="C81" s="668"/>
      <c r="D81" s="671"/>
      <c r="E81" s="663"/>
    </row>
    <row r="82" spans="1:5" ht="12.75">
      <c r="A82" s="664"/>
      <c r="B82" s="670"/>
      <c r="C82" s="668"/>
      <c r="D82" s="671"/>
      <c r="E82" s="663"/>
    </row>
    <row r="83" spans="1:5" ht="12.75">
      <c r="A83" s="664"/>
      <c r="B83" s="670"/>
      <c r="C83" s="668"/>
      <c r="D83" s="671"/>
      <c r="E83" s="663"/>
    </row>
    <row r="84" spans="1:5" ht="12.75">
      <c r="A84" s="664"/>
      <c r="B84" s="665"/>
      <c r="C84" s="661"/>
      <c r="D84" s="662"/>
      <c r="E84" s="663"/>
    </row>
    <row r="85" spans="1:5" ht="12.75">
      <c r="A85" s="664"/>
      <c r="B85" s="660"/>
      <c r="C85" s="661"/>
      <c r="D85" s="662"/>
      <c r="E85" s="663"/>
    </row>
    <row r="86" spans="1:5" ht="13.8" thickBot="1">
      <c r="A86" s="672"/>
      <c r="B86" s="673"/>
      <c r="C86" s="674"/>
      <c r="D86" s="675"/>
      <c r="E86" s="676"/>
    </row>
  </sheetData>
  <printOptions/>
  <pageMargins left="1.1811023622047245" right="0.5905511811023623" top="1.1811023622047245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60"/>
  <sheetViews>
    <sheetView workbookViewId="0" topLeftCell="A31"/>
  </sheetViews>
  <sheetFormatPr defaultColWidth="14.375" defaultRowHeight="12.75"/>
  <cols>
    <col min="1" max="1" width="10.50390625" style="682" customWidth="1"/>
    <col min="2" max="2" width="39.50390625" style="684" customWidth="1"/>
    <col min="3" max="3" width="5.375" style="684" customWidth="1"/>
    <col min="4" max="4" width="8.375" style="685" customWidth="1"/>
    <col min="5" max="5" width="11.50390625" style="685" customWidth="1"/>
    <col min="6" max="6" width="12.00390625" style="718" customWidth="1"/>
    <col min="7" max="16384" width="14.375" style="684" customWidth="1"/>
  </cols>
  <sheetData>
    <row r="1" spans="2:6" ht="15.6">
      <c r="B1" s="683" t="s">
        <v>1065</v>
      </c>
      <c r="F1" s="684"/>
    </row>
    <row r="2" spans="2:6" ht="12.75">
      <c r="B2" s="686"/>
      <c r="F2" s="684"/>
    </row>
    <row r="3" spans="2:6" ht="13.8">
      <c r="B3" s="687" t="s">
        <v>1066</v>
      </c>
      <c r="F3" s="684"/>
    </row>
    <row r="4" spans="2:6" ht="12.75">
      <c r="B4" s="686"/>
      <c r="F4" s="684"/>
    </row>
    <row r="5" spans="2:6" ht="13.2">
      <c r="B5" s="688" t="s">
        <v>1067</v>
      </c>
      <c r="F5" s="684"/>
    </row>
    <row r="6" spans="2:6" ht="12.75">
      <c r="B6" s="684" t="s">
        <v>1068</v>
      </c>
      <c r="D6" s="689"/>
      <c r="E6" s="690" t="s">
        <v>1450</v>
      </c>
      <c r="F6" s="684"/>
    </row>
    <row r="7" spans="1:7" ht="12.75">
      <c r="A7" s="691" t="s">
        <v>1070</v>
      </c>
      <c r="B7" s="692" t="s">
        <v>1071</v>
      </c>
      <c r="C7" s="692" t="s">
        <v>1072</v>
      </c>
      <c r="D7" s="693" t="s">
        <v>133</v>
      </c>
      <c r="E7" s="693" t="s">
        <v>1042</v>
      </c>
      <c r="F7" s="694" t="s">
        <v>1073</v>
      </c>
      <c r="G7" s="695"/>
    </row>
    <row r="8" spans="1:6" ht="12.75">
      <c r="A8" s="696"/>
      <c r="B8" s="697"/>
      <c r="C8" s="698"/>
      <c r="D8" s="699"/>
      <c r="E8" s="699"/>
      <c r="F8" s="700"/>
    </row>
    <row r="9" spans="1:6" s="703" customFormat="1" ht="12.75">
      <c r="A9" s="701"/>
      <c r="B9" s="732" t="s">
        <v>1074</v>
      </c>
      <c r="F9" s="705"/>
    </row>
    <row r="10" spans="1:6" s="703" customFormat="1" ht="12.75">
      <c r="A10" s="701" t="s">
        <v>1505</v>
      </c>
      <c r="B10" s="702" t="s">
        <v>1506</v>
      </c>
      <c r="C10" s="703" t="s">
        <v>231</v>
      </c>
      <c r="D10" s="704">
        <v>3</v>
      </c>
      <c r="E10" s="704"/>
      <c r="F10" s="705">
        <f>D10*E10</f>
        <v>0</v>
      </c>
    </row>
    <row r="11" spans="1:6" s="703" customFormat="1" ht="12.75">
      <c r="A11" s="701" t="s">
        <v>1507</v>
      </c>
      <c r="B11" s="702" t="s">
        <v>1075</v>
      </c>
      <c r="C11" s="703" t="s">
        <v>231</v>
      </c>
      <c r="D11" s="704">
        <v>8</v>
      </c>
      <c r="E11" s="704"/>
      <c r="F11" s="705">
        <f aca="true" t="shared" si="0" ref="F11:F33">D11*E11</f>
        <v>0</v>
      </c>
    </row>
    <row r="12" spans="1:6" s="703" customFormat="1" ht="12.75">
      <c r="A12" s="701" t="s">
        <v>1508</v>
      </c>
      <c r="B12" s="702" t="s">
        <v>1076</v>
      </c>
      <c r="C12" s="703" t="s">
        <v>231</v>
      </c>
      <c r="D12" s="704">
        <v>2</v>
      </c>
      <c r="E12" s="704"/>
      <c r="F12" s="705">
        <f>D12*E12</f>
        <v>0</v>
      </c>
    </row>
    <row r="13" spans="1:6" s="703" customFormat="1" ht="12.75">
      <c r="A13" s="701" t="s">
        <v>1509</v>
      </c>
      <c r="B13" s="702" t="s">
        <v>1077</v>
      </c>
      <c r="C13" s="703" t="s">
        <v>231</v>
      </c>
      <c r="D13" s="704">
        <v>2</v>
      </c>
      <c r="E13" s="704"/>
      <c r="F13" s="705">
        <f>D13*E13</f>
        <v>0</v>
      </c>
    </row>
    <row r="14" spans="1:6" s="703" customFormat="1" ht="12.75">
      <c r="A14" s="701" t="s">
        <v>1510</v>
      </c>
      <c r="B14" s="702" t="s">
        <v>1078</v>
      </c>
      <c r="C14" s="703" t="s">
        <v>757</v>
      </c>
      <c r="D14" s="704">
        <v>6</v>
      </c>
      <c r="E14" s="704"/>
      <c r="F14" s="705">
        <f t="shared" si="0"/>
        <v>0</v>
      </c>
    </row>
    <row r="15" spans="1:6" s="703" customFormat="1" ht="12.75">
      <c r="A15" s="701" t="s">
        <v>1511</v>
      </c>
      <c r="B15" s="702" t="s">
        <v>1079</v>
      </c>
      <c r="C15" s="703" t="s">
        <v>757</v>
      </c>
      <c r="D15" s="704">
        <v>20</v>
      </c>
      <c r="E15" s="704"/>
      <c r="F15" s="705">
        <f t="shared" si="0"/>
        <v>0</v>
      </c>
    </row>
    <row r="16" spans="1:6" s="703" customFormat="1" ht="12.75">
      <c r="A16" s="701" t="s">
        <v>1512</v>
      </c>
      <c r="B16" s="702" t="s">
        <v>1513</v>
      </c>
      <c r="C16" s="703" t="s">
        <v>757</v>
      </c>
      <c r="D16" s="704">
        <v>4</v>
      </c>
      <c r="E16" s="704"/>
      <c r="F16" s="705">
        <f t="shared" si="0"/>
        <v>0</v>
      </c>
    </row>
    <row r="17" spans="1:6" s="703" customFormat="1" ht="12.75">
      <c r="A17" s="701" t="s">
        <v>1514</v>
      </c>
      <c r="B17" s="702" t="s">
        <v>1082</v>
      </c>
      <c r="C17" s="703" t="s">
        <v>231</v>
      </c>
      <c r="D17" s="704">
        <v>12</v>
      </c>
      <c r="E17" s="704"/>
      <c r="F17" s="705">
        <f t="shared" si="0"/>
        <v>0</v>
      </c>
    </row>
    <row r="18" spans="1:6" s="703" customFormat="1" ht="12.75">
      <c r="A18" s="701" t="s">
        <v>1515</v>
      </c>
      <c r="B18" s="702" t="s">
        <v>1083</v>
      </c>
      <c r="C18" s="703" t="s">
        <v>231</v>
      </c>
      <c r="D18" s="704">
        <v>12</v>
      </c>
      <c r="E18" s="704"/>
      <c r="F18" s="705">
        <f t="shared" si="0"/>
        <v>0</v>
      </c>
    </row>
    <row r="19" spans="1:6" s="703" customFormat="1" ht="12.75">
      <c r="A19" s="701" t="s">
        <v>1516</v>
      </c>
      <c r="B19" s="702" t="s">
        <v>1084</v>
      </c>
      <c r="C19" s="703" t="s">
        <v>231</v>
      </c>
      <c r="D19" s="704">
        <v>6</v>
      </c>
      <c r="E19" s="704"/>
      <c r="F19" s="705">
        <f t="shared" si="0"/>
        <v>0</v>
      </c>
    </row>
    <row r="20" spans="1:6" s="703" customFormat="1" ht="12.75">
      <c r="A20" s="701" t="s">
        <v>1517</v>
      </c>
      <c r="B20" s="702" t="s">
        <v>1085</v>
      </c>
      <c r="C20" s="703" t="s">
        <v>757</v>
      </c>
      <c r="D20" s="704">
        <v>14</v>
      </c>
      <c r="E20" s="704"/>
      <c r="F20" s="705">
        <f t="shared" si="0"/>
        <v>0</v>
      </c>
    </row>
    <row r="21" spans="1:6" s="703" customFormat="1" ht="12.75">
      <c r="A21" s="701" t="s">
        <v>1518</v>
      </c>
      <c r="B21" s="702" t="s">
        <v>1086</v>
      </c>
      <c r="C21" s="703" t="s">
        <v>757</v>
      </c>
      <c r="D21" s="704">
        <v>30</v>
      </c>
      <c r="E21" s="704"/>
      <c r="F21" s="705">
        <f t="shared" si="0"/>
        <v>0</v>
      </c>
    </row>
    <row r="22" spans="1:6" s="703" customFormat="1" ht="12.75">
      <c r="A22" s="701" t="s">
        <v>1519</v>
      </c>
      <c r="B22" s="702" t="s">
        <v>1087</v>
      </c>
      <c r="C22" s="703" t="s">
        <v>757</v>
      </c>
      <c r="D22" s="704">
        <v>1</v>
      </c>
      <c r="E22" s="704"/>
      <c r="F22" s="705">
        <f t="shared" si="0"/>
        <v>0</v>
      </c>
    </row>
    <row r="23" spans="1:6" s="703" customFormat="1" ht="12.75">
      <c r="A23" s="701" t="s">
        <v>1520</v>
      </c>
      <c r="B23" s="702" t="s">
        <v>1521</v>
      </c>
      <c r="C23" s="703" t="s">
        <v>757</v>
      </c>
      <c r="D23" s="704">
        <v>1</v>
      </c>
      <c r="E23" s="704"/>
      <c r="F23" s="705">
        <f>D23*E23</f>
        <v>0</v>
      </c>
    </row>
    <row r="24" spans="1:6" s="703" customFormat="1" ht="12.75">
      <c r="A24" s="701" t="s">
        <v>1522</v>
      </c>
      <c r="B24" s="702" t="s">
        <v>1088</v>
      </c>
      <c r="C24" s="703" t="s">
        <v>757</v>
      </c>
      <c r="D24" s="704">
        <v>5</v>
      </c>
      <c r="E24" s="704"/>
      <c r="F24" s="705">
        <f>D24*E24</f>
        <v>0</v>
      </c>
    </row>
    <row r="25" spans="1:6" s="703" customFormat="1" ht="12.75">
      <c r="A25" s="701" t="s">
        <v>1523</v>
      </c>
      <c r="B25" s="702" t="s">
        <v>1089</v>
      </c>
      <c r="C25" s="703" t="s">
        <v>757</v>
      </c>
      <c r="D25" s="704">
        <v>3</v>
      </c>
      <c r="E25" s="704"/>
      <c r="F25" s="705">
        <f>D25*E25</f>
        <v>0</v>
      </c>
    </row>
    <row r="26" spans="1:6" s="703" customFormat="1" ht="12.75">
      <c r="A26" s="701" t="s">
        <v>1524</v>
      </c>
      <c r="B26" s="702" t="s">
        <v>1090</v>
      </c>
      <c r="C26" s="703" t="s">
        <v>757</v>
      </c>
      <c r="D26" s="704">
        <v>1</v>
      </c>
      <c r="E26" s="704"/>
      <c r="F26" s="705">
        <f>D26*E26</f>
        <v>0</v>
      </c>
    </row>
    <row r="27" spans="1:6" s="703" customFormat="1" ht="12.75">
      <c r="A27" s="701" t="s">
        <v>1525</v>
      </c>
      <c r="B27" s="702" t="s">
        <v>2706</v>
      </c>
      <c r="C27" s="703" t="s">
        <v>757</v>
      </c>
      <c r="D27" s="704">
        <v>1</v>
      </c>
      <c r="E27" s="704"/>
      <c r="F27" s="705">
        <f>D27*E27</f>
        <v>0</v>
      </c>
    </row>
    <row r="28" spans="1:6" s="703" customFormat="1" ht="12.75">
      <c r="A28" s="701" t="s">
        <v>1526</v>
      </c>
      <c r="B28" s="702" t="s">
        <v>2707</v>
      </c>
      <c r="C28" s="703" t="s">
        <v>757</v>
      </c>
      <c r="D28" s="704">
        <v>2</v>
      </c>
      <c r="E28" s="704"/>
      <c r="F28" s="705">
        <f t="shared" si="0"/>
        <v>0</v>
      </c>
    </row>
    <row r="29" spans="1:6" s="703" customFormat="1" ht="12.75">
      <c r="A29" s="701" t="s">
        <v>1527</v>
      </c>
      <c r="B29" s="702" t="s">
        <v>1528</v>
      </c>
      <c r="C29" s="703" t="s">
        <v>757</v>
      </c>
      <c r="D29" s="704">
        <v>1</v>
      </c>
      <c r="E29" s="733"/>
      <c r="F29" s="705">
        <f>D29*E29</f>
        <v>0</v>
      </c>
    </row>
    <row r="30" spans="1:6" s="703" customFormat="1" ht="12.75">
      <c r="A30" s="701" t="s">
        <v>1529</v>
      </c>
      <c r="B30" s="702" t="s">
        <v>1092</v>
      </c>
      <c r="C30" s="703" t="s">
        <v>231</v>
      </c>
      <c r="D30" s="704">
        <f>SUM(D11:D13,D17:D19)</f>
        <v>42</v>
      </c>
      <c r="E30" s="704"/>
      <c r="F30" s="705">
        <f t="shared" si="0"/>
        <v>0</v>
      </c>
    </row>
    <row r="31" spans="1:6" s="703" customFormat="1" ht="12.75">
      <c r="A31" s="701" t="s">
        <v>1530</v>
      </c>
      <c r="B31" s="702" t="s">
        <v>1093</v>
      </c>
      <c r="C31" s="703" t="s">
        <v>231</v>
      </c>
      <c r="D31" s="704">
        <f>SUM(D30)</f>
        <v>42</v>
      </c>
      <c r="E31" s="704"/>
      <c r="F31" s="705">
        <f t="shared" si="0"/>
        <v>0</v>
      </c>
    </row>
    <row r="32" spans="1:6" s="703" customFormat="1" ht="12.75">
      <c r="A32" s="701" t="s">
        <v>1531</v>
      </c>
      <c r="B32" s="702" t="s">
        <v>1094</v>
      </c>
      <c r="C32" s="703" t="s">
        <v>231</v>
      </c>
      <c r="D32" s="704">
        <f>SUM(D17:D19)</f>
        <v>30</v>
      </c>
      <c r="E32" s="704"/>
      <c r="F32" s="705">
        <f t="shared" si="0"/>
        <v>0</v>
      </c>
    </row>
    <row r="33" spans="1:6" s="703" customFormat="1" ht="12.75">
      <c r="A33" s="701" t="s">
        <v>1532</v>
      </c>
      <c r="B33" s="708" t="s">
        <v>1095</v>
      </c>
      <c r="C33" s="703" t="s">
        <v>1096</v>
      </c>
      <c r="D33" s="704">
        <v>1</v>
      </c>
      <c r="E33" s="704"/>
      <c r="F33" s="705">
        <f t="shared" si="0"/>
        <v>0</v>
      </c>
    </row>
    <row r="34" spans="1:6" s="703" customFormat="1" ht="12.75">
      <c r="A34" s="701"/>
      <c r="B34" s="702"/>
      <c r="D34" s="704"/>
      <c r="E34" s="704"/>
      <c r="F34" s="705"/>
    </row>
    <row r="35" spans="1:6" s="702" customFormat="1" ht="12.75">
      <c r="A35" s="696"/>
      <c r="D35" s="707"/>
      <c r="E35" s="707"/>
      <c r="F35" s="705"/>
    </row>
    <row r="36" spans="1:6" s="702" customFormat="1" ht="12.75">
      <c r="A36" s="696"/>
      <c r="B36" s="732" t="s">
        <v>1097</v>
      </c>
      <c r="D36" s="707"/>
      <c r="E36" s="707"/>
      <c r="F36" s="705"/>
    </row>
    <row r="37" spans="1:6" s="702" customFormat="1" ht="12.75">
      <c r="A37" s="696" t="s">
        <v>1533</v>
      </c>
      <c r="B37" s="702" t="s">
        <v>1534</v>
      </c>
      <c r="C37" s="702" t="s">
        <v>231</v>
      </c>
      <c r="D37" s="707">
        <v>5</v>
      </c>
      <c r="E37" s="707"/>
      <c r="F37" s="705">
        <f>D37*E37</f>
        <v>0</v>
      </c>
    </row>
    <row r="38" spans="1:6" s="702" customFormat="1" ht="12.75">
      <c r="A38" s="696" t="s">
        <v>1535</v>
      </c>
      <c r="B38" s="702" t="s">
        <v>1098</v>
      </c>
      <c r="C38" s="702" t="s">
        <v>231</v>
      </c>
      <c r="D38" s="707">
        <v>10</v>
      </c>
      <c r="E38" s="707"/>
      <c r="F38" s="705">
        <f aca="true" t="shared" si="1" ref="F38:F63">D38*E38</f>
        <v>0</v>
      </c>
    </row>
    <row r="39" spans="1:6" s="702" customFormat="1" ht="12.75">
      <c r="A39" s="696" t="s">
        <v>1536</v>
      </c>
      <c r="B39" s="702" t="s">
        <v>1099</v>
      </c>
      <c r="C39" s="702" t="s">
        <v>231</v>
      </c>
      <c r="D39" s="707">
        <v>14</v>
      </c>
      <c r="E39" s="707"/>
      <c r="F39" s="705">
        <f t="shared" si="1"/>
        <v>0</v>
      </c>
    </row>
    <row r="40" spans="1:6" s="702" customFormat="1" ht="12.75">
      <c r="A40" s="696" t="s">
        <v>1537</v>
      </c>
      <c r="B40" s="702" t="s">
        <v>1100</v>
      </c>
      <c r="C40" s="702" t="s">
        <v>231</v>
      </c>
      <c r="D40" s="707">
        <v>8</v>
      </c>
      <c r="E40" s="707"/>
      <c r="F40" s="705">
        <f>D40*E40</f>
        <v>0</v>
      </c>
    </row>
    <row r="41" spans="1:6" s="702" customFormat="1" ht="12.75">
      <c r="A41" s="696" t="s">
        <v>1538</v>
      </c>
      <c r="B41" s="702" t="s">
        <v>1101</v>
      </c>
      <c r="C41" s="702" t="s">
        <v>757</v>
      </c>
      <c r="D41" s="707">
        <v>80</v>
      </c>
      <c r="E41" s="707"/>
      <c r="F41" s="705">
        <f t="shared" si="1"/>
        <v>0</v>
      </c>
    </row>
    <row r="42" spans="1:6" s="702" customFormat="1" ht="12.75">
      <c r="A42" s="696" t="s">
        <v>1539</v>
      </c>
      <c r="B42" s="702" t="s">
        <v>1102</v>
      </c>
      <c r="C42" s="702" t="s">
        <v>757</v>
      </c>
      <c r="D42" s="707">
        <v>15</v>
      </c>
      <c r="E42" s="707"/>
      <c r="F42" s="705">
        <f t="shared" si="1"/>
        <v>0</v>
      </c>
    </row>
    <row r="43" spans="1:6" s="702" customFormat="1" ht="12.75">
      <c r="A43" s="696" t="s">
        <v>1540</v>
      </c>
      <c r="B43" s="702" t="s">
        <v>1541</v>
      </c>
      <c r="C43" s="702" t="s">
        <v>231</v>
      </c>
      <c r="D43" s="707">
        <v>5</v>
      </c>
      <c r="E43" s="707"/>
      <c r="F43" s="705">
        <f>D43*E43</f>
        <v>0</v>
      </c>
    </row>
    <row r="44" spans="1:6" s="702" customFormat="1" ht="12.75">
      <c r="A44" s="696" t="s">
        <v>1542</v>
      </c>
      <c r="B44" s="702" t="s">
        <v>1103</v>
      </c>
      <c r="C44" s="702" t="s">
        <v>231</v>
      </c>
      <c r="D44" s="707">
        <v>10</v>
      </c>
      <c r="E44" s="707"/>
      <c r="F44" s="705">
        <f t="shared" si="1"/>
        <v>0</v>
      </c>
    </row>
    <row r="45" spans="1:6" s="702" customFormat="1" ht="12.75">
      <c r="A45" s="696" t="s">
        <v>1543</v>
      </c>
      <c r="B45" s="702" t="s">
        <v>1104</v>
      </c>
      <c r="C45" s="702" t="s">
        <v>231</v>
      </c>
      <c r="D45" s="707">
        <v>14</v>
      </c>
      <c r="E45" s="707"/>
      <c r="F45" s="705">
        <f t="shared" si="1"/>
        <v>0</v>
      </c>
    </row>
    <row r="46" spans="1:6" s="702" customFormat="1" ht="12.75">
      <c r="A46" s="696" t="s">
        <v>1544</v>
      </c>
      <c r="B46" s="702" t="s">
        <v>1105</v>
      </c>
      <c r="C46" s="702" t="s">
        <v>231</v>
      </c>
      <c r="D46" s="707">
        <v>8</v>
      </c>
      <c r="E46" s="707"/>
      <c r="F46" s="705">
        <f t="shared" si="1"/>
        <v>0</v>
      </c>
    </row>
    <row r="47" spans="1:10" s="712" customFormat="1" ht="12.75">
      <c r="A47" s="696" t="s">
        <v>1545</v>
      </c>
      <c r="B47" s="702" t="s">
        <v>1106</v>
      </c>
      <c r="C47" s="702" t="s">
        <v>757</v>
      </c>
      <c r="D47" s="707">
        <v>2</v>
      </c>
      <c r="E47" s="707"/>
      <c r="F47" s="705">
        <f t="shared" si="1"/>
        <v>0</v>
      </c>
      <c r="H47" s="702"/>
      <c r="J47" s="702"/>
    </row>
    <row r="48" spans="1:10" s="712" customFormat="1" ht="12.75">
      <c r="A48" s="696" t="s">
        <v>1546</v>
      </c>
      <c r="B48" s="702" t="s">
        <v>1107</v>
      </c>
      <c r="C48" s="702" t="s">
        <v>757</v>
      </c>
      <c r="D48" s="707">
        <v>1</v>
      </c>
      <c r="E48" s="707"/>
      <c r="F48" s="705">
        <f>D48*E48</f>
        <v>0</v>
      </c>
      <c r="H48" s="702"/>
      <c r="J48" s="702"/>
    </row>
    <row r="49" spans="1:6" s="702" customFormat="1" ht="12.75">
      <c r="A49" s="696" t="s">
        <v>1547</v>
      </c>
      <c r="B49" s="702" t="s">
        <v>1108</v>
      </c>
      <c r="C49" s="702" t="s">
        <v>757</v>
      </c>
      <c r="D49" s="707">
        <v>1</v>
      </c>
      <c r="E49" s="707"/>
      <c r="F49" s="705">
        <f t="shared" si="1"/>
        <v>0</v>
      </c>
    </row>
    <row r="50" spans="1:6" s="702" customFormat="1" ht="12.75">
      <c r="A50" s="696" t="s">
        <v>1548</v>
      </c>
      <c r="B50" s="702" t="s">
        <v>1109</v>
      </c>
      <c r="C50" s="702" t="s">
        <v>757</v>
      </c>
      <c r="D50" s="707">
        <v>1</v>
      </c>
      <c r="E50" s="707"/>
      <c r="F50" s="705">
        <f>D50*E50</f>
        <v>0</v>
      </c>
    </row>
    <row r="51" spans="1:10" s="712" customFormat="1" ht="12.75">
      <c r="A51" s="696" t="s">
        <v>1549</v>
      </c>
      <c r="B51" s="702" t="s">
        <v>1110</v>
      </c>
      <c r="C51" s="702" t="s">
        <v>757</v>
      </c>
      <c r="D51" s="707">
        <v>10</v>
      </c>
      <c r="E51" s="707"/>
      <c r="F51" s="705">
        <f>D51*E51</f>
        <v>0</v>
      </c>
      <c r="H51" s="702"/>
      <c r="J51" s="702"/>
    </row>
    <row r="52" spans="1:6" s="702" customFormat="1" ht="12.75">
      <c r="A52" s="696" t="s">
        <v>1550</v>
      </c>
      <c r="B52" s="702" t="s">
        <v>1112</v>
      </c>
      <c r="C52" s="702" t="s">
        <v>757</v>
      </c>
      <c r="D52" s="707">
        <v>1</v>
      </c>
      <c r="E52" s="707"/>
      <c r="F52" s="705">
        <f t="shared" si="1"/>
        <v>0</v>
      </c>
    </row>
    <row r="53" spans="1:6" s="702" customFormat="1" ht="12.75">
      <c r="A53" s="696" t="s">
        <v>1551</v>
      </c>
      <c r="B53" s="702" t="s">
        <v>1113</v>
      </c>
      <c r="C53" s="702" t="s">
        <v>757</v>
      </c>
      <c r="D53" s="707">
        <v>1</v>
      </c>
      <c r="E53" s="707"/>
      <c r="F53" s="705">
        <f t="shared" si="1"/>
        <v>0</v>
      </c>
    </row>
    <row r="54" spans="1:10" s="712" customFormat="1" ht="12.75">
      <c r="A54" s="696" t="s">
        <v>1552</v>
      </c>
      <c r="B54" s="702" t="s">
        <v>1114</v>
      </c>
      <c r="C54" s="702" t="s">
        <v>757</v>
      </c>
      <c r="D54" s="707">
        <v>5</v>
      </c>
      <c r="E54" s="707"/>
      <c r="F54" s="705">
        <f>D54*E54</f>
        <v>0</v>
      </c>
      <c r="H54" s="702"/>
      <c r="J54" s="702"/>
    </row>
    <row r="55" spans="1:10" s="712" customFormat="1" ht="12.75">
      <c r="A55" s="696" t="s">
        <v>1553</v>
      </c>
      <c r="B55" s="702" t="s">
        <v>1115</v>
      </c>
      <c r="C55" s="702" t="s">
        <v>757</v>
      </c>
      <c r="D55" s="707">
        <v>1</v>
      </c>
      <c r="E55" s="707"/>
      <c r="F55" s="705">
        <f>D55*E55</f>
        <v>0</v>
      </c>
      <c r="H55" s="702"/>
      <c r="J55" s="702"/>
    </row>
    <row r="56" spans="1:10" s="712" customFormat="1" ht="12.75">
      <c r="A56" s="696" t="s">
        <v>1554</v>
      </c>
      <c r="B56" s="702" t="s">
        <v>1116</v>
      </c>
      <c r="C56" s="702" t="s">
        <v>757</v>
      </c>
      <c r="D56" s="707">
        <v>3</v>
      </c>
      <c r="E56" s="707"/>
      <c r="F56" s="705">
        <f>D56*E56</f>
        <v>0</v>
      </c>
      <c r="H56" s="702"/>
      <c r="J56" s="702"/>
    </row>
    <row r="57" spans="1:10" s="712" customFormat="1" ht="12.75">
      <c r="A57" s="696" t="s">
        <v>1555</v>
      </c>
      <c r="B57" s="702" t="s">
        <v>1556</v>
      </c>
      <c r="C57" s="702" t="s">
        <v>757</v>
      </c>
      <c r="D57" s="707">
        <v>1</v>
      </c>
      <c r="E57" s="707"/>
      <c r="F57" s="705">
        <f>D57*E57</f>
        <v>0</v>
      </c>
      <c r="H57" s="702"/>
      <c r="J57" s="702"/>
    </row>
    <row r="58" spans="1:6" s="702" customFormat="1" ht="12.75">
      <c r="A58" s="696" t="s">
        <v>1557</v>
      </c>
      <c r="B58" s="702" t="s">
        <v>1117</v>
      </c>
      <c r="C58" s="702" t="s">
        <v>757</v>
      </c>
      <c r="D58" s="707">
        <f>SUM(D54:D57)</f>
        <v>10</v>
      </c>
      <c r="E58" s="707"/>
      <c r="F58" s="705">
        <f t="shared" si="1"/>
        <v>0</v>
      </c>
    </row>
    <row r="59" spans="1:6" s="702" customFormat="1" ht="12.75">
      <c r="A59" s="696" t="s">
        <v>1558</v>
      </c>
      <c r="B59" s="702" t="s">
        <v>1118</v>
      </c>
      <c r="C59" s="702" t="s">
        <v>1096</v>
      </c>
      <c r="D59" s="707">
        <v>1</v>
      </c>
      <c r="E59" s="707"/>
      <c r="F59" s="705">
        <f t="shared" si="1"/>
        <v>0</v>
      </c>
    </row>
    <row r="60" spans="1:10" ht="12.75">
      <c r="A60" s="696" t="s">
        <v>1559</v>
      </c>
      <c r="B60" s="702" t="s">
        <v>1092</v>
      </c>
      <c r="C60" s="684" t="s">
        <v>231</v>
      </c>
      <c r="D60" s="717">
        <f>SUM(D37:D40)</f>
        <v>37</v>
      </c>
      <c r="E60" s="717"/>
      <c r="F60" s="705">
        <f>D60*E60</f>
        <v>0</v>
      </c>
      <c r="J60" s="684" t="str">
        <f>IF(H60=0,"",F60*0.22)</f>
        <v/>
      </c>
    </row>
    <row r="61" spans="1:10" ht="12.75">
      <c r="A61" s="696" t="s">
        <v>1560</v>
      </c>
      <c r="B61" s="702" t="s">
        <v>1561</v>
      </c>
      <c r="C61" s="684" t="s">
        <v>1096</v>
      </c>
      <c r="D61" s="717">
        <v>1</v>
      </c>
      <c r="E61" s="717"/>
      <c r="F61" s="705">
        <f t="shared" si="1"/>
        <v>0</v>
      </c>
      <c r="J61" s="684" t="str">
        <f aca="true" t="shared" si="2" ref="J61:J124">IF(H61=0,"",F61*0.22)</f>
        <v/>
      </c>
    </row>
    <row r="62" spans="1:10" ht="12.75">
      <c r="A62" s="696" t="s">
        <v>1562</v>
      </c>
      <c r="B62" s="702" t="s">
        <v>1119</v>
      </c>
      <c r="C62" s="684" t="s">
        <v>231</v>
      </c>
      <c r="D62" s="717">
        <f>SUM(D37:D40)</f>
        <v>37</v>
      </c>
      <c r="E62" s="717"/>
      <c r="F62" s="705">
        <f t="shared" si="1"/>
        <v>0</v>
      </c>
      <c r="J62" s="684" t="str">
        <f t="shared" si="2"/>
        <v/>
      </c>
    </row>
    <row r="63" spans="1:10" ht="12.75">
      <c r="A63" s="696" t="s">
        <v>1563</v>
      </c>
      <c r="B63" s="708" t="s">
        <v>1095</v>
      </c>
      <c r="C63" s="684" t="s">
        <v>1096</v>
      </c>
      <c r="D63" s="717">
        <v>1</v>
      </c>
      <c r="E63" s="717"/>
      <c r="F63" s="705">
        <f t="shared" si="1"/>
        <v>0</v>
      </c>
      <c r="J63" s="684" t="str">
        <f t="shared" si="2"/>
        <v/>
      </c>
    </row>
    <row r="64" spans="4:10" ht="12.75">
      <c r="D64" s="717"/>
      <c r="E64" s="717"/>
      <c r="J64" s="684" t="str">
        <f t="shared" si="2"/>
        <v/>
      </c>
    </row>
    <row r="65" spans="1:10" ht="12.75">
      <c r="A65" s="719"/>
      <c r="D65" s="717"/>
      <c r="E65" s="717"/>
      <c r="J65" s="684" t="str">
        <f t="shared" si="2"/>
        <v/>
      </c>
    </row>
    <row r="66" spans="1:10" ht="12.75">
      <c r="A66" s="719"/>
      <c r="B66" s="732" t="s">
        <v>1120</v>
      </c>
      <c r="D66" s="717"/>
      <c r="E66" s="717"/>
      <c r="J66" s="684" t="str">
        <f t="shared" si="2"/>
        <v/>
      </c>
    </row>
    <row r="67" spans="1:10" ht="12.75">
      <c r="A67" s="682" t="s">
        <v>1564</v>
      </c>
      <c r="B67" s="684" t="s">
        <v>1121</v>
      </c>
      <c r="C67" s="684" t="s">
        <v>757</v>
      </c>
      <c r="D67" s="717">
        <v>4</v>
      </c>
      <c r="E67" s="717"/>
      <c r="F67" s="718">
        <f aca="true" t="shared" si="3" ref="F67:F73">D67*E67</f>
        <v>0</v>
      </c>
      <c r="J67" s="684" t="str">
        <f t="shared" si="2"/>
        <v/>
      </c>
    </row>
    <row r="68" spans="1:10" ht="12.75">
      <c r="A68" s="682" t="s">
        <v>1565</v>
      </c>
      <c r="B68" s="684" t="s">
        <v>1122</v>
      </c>
      <c r="C68" s="684" t="s">
        <v>757</v>
      </c>
      <c r="D68" s="717">
        <v>1</v>
      </c>
      <c r="E68" s="717"/>
      <c r="F68" s="718">
        <f>D68*E68</f>
        <v>0</v>
      </c>
      <c r="J68" s="684" t="str">
        <f>IF(H68=0,"",F68*0.22)</f>
        <v/>
      </c>
    </row>
    <row r="69" spans="1:10" ht="12.75">
      <c r="A69" s="682" t="s">
        <v>1566</v>
      </c>
      <c r="B69" s="684" t="s">
        <v>1123</v>
      </c>
      <c r="C69" s="684" t="s">
        <v>757</v>
      </c>
      <c r="D69" s="717">
        <v>6</v>
      </c>
      <c r="E69" s="717"/>
      <c r="F69" s="718">
        <f t="shared" si="3"/>
        <v>0</v>
      </c>
      <c r="J69" s="684" t="str">
        <f t="shared" si="2"/>
        <v/>
      </c>
    </row>
    <row r="70" spans="1:10" ht="12.75">
      <c r="A70" s="682" t="s">
        <v>1567</v>
      </c>
      <c r="B70" s="684" t="s">
        <v>1124</v>
      </c>
      <c r="C70" s="684" t="s">
        <v>757</v>
      </c>
      <c r="D70" s="717">
        <v>1</v>
      </c>
      <c r="E70" s="717"/>
      <c r="F70" s="718">
        <f>D70*E70</f>
        <v>0</v>
      </c>
      <c r="J70" s="684" t="str">
        <f>IF(H70=0,"",F70*0.22)</f>
        <v/>
      </c>
    </row>
    <row r="71" spans="1:10" ht="12.75">
      <c r="A71" s="682" t="s">
        <v>1568</v>
      </c>
      <c r="B71" s="684" t="s">
        <v>1125</v>
      </c>
      <c r="C71" s="684" t="s">
        <v>757</v>
      </c>
      <c r="D71" s="717">
        <v>1</v>
      </c>
      <c r="E71" s="717"/>
      <c r="F71" s="718">
        <f t="shared" si="3"/>
        <v>0</v>
      </c>
      <c r="J71" s="684" t="str">
        <f t="shared" si="2"/>
        <v/>
      </c>
    </row>
    <row r="72" spans="1:10" ht="12.75">
      <c r="A72" s="682" t="s">
        <v>1569</v>
      </c>
      <c r="B72" s="684" t="s">
        <v>1126</v>
      </c>
      <c r="C72" s="684" t="s">
        <v>757</v>
      </c>
      <c r="D72" s="717">
        <v>3</v>
      </c>
      <c r="E72" s="717"/>
      <c r="F72" s="718">
        <f>D72*E72</f>
        <v>0</v>
      </c>
      <c r="J72" s="684" t="str">
        <f>IF(H72=0,"",F72*0.22)</f>
        <v/>
      </c>
    </row>
    <row r="73" spans="1:10" ht="12.75">
      <c r="A73" s="682" t="s">
        <v>1570</v>
      </c>
      <c r="B73" s="684" t="s">
        <v>1127</v>
      </c>
      <c r="C73" s="684" t="s">
        <v>757</v>
      </c>
      <c r="D73" s="717">
        <f>SUM(D67:D72)</f>
        <v>16</v>
      </c>
      <c r="E73" s="717"/>
      <c r="F73" s="718">
        <f t="shared" si="3"/>
        <v>0</v>
      </c>
      <c r="J73" s="684" t="str">
        <f t="shared" si="2"/>
        <v/>
      </c>
    </row>
    <row r="74" spans="4:10" ht="12.75">
      <c r="D74" s="717"/>
      <c r="E74" s="717"/>
      <c r="J74" s="684" t="str">
        <f t="shared" si="2"/>
        <v/>
      </c>
    </row>
    <row r="75" spans="6:10" ht="12.75">
      <c r="F75" s="734">
        <f>SUM(F11:F73)</f>
        <v>0</v>
      </c>
      <c r="J75" s="684" t="str">
        <f t="shared" si="2"/>
        <v/>
      </c>
    </row>
    <row r="76" spans="2:10" ht="12.75">
      <c r="B76" s="702"/>
      <c r="C76" s="702"/>
      <c r="D76" s="707"/>
      <c r="E76" s="707"/>
      <c r="F76" s="709"/>
      <c r="J76" s="684" t="str">
        <f t="shared" si="2"/>
        <v/>
      </c>
    </row>
    <row r="77" spans="1:10" s="686" customFormat="1" ht="12.75">
      <c r="A77" s="720"/>
      <c r="B77" s="702"/>
      <c r="C77" s="702"/>
      <c r="D77" s="707"/>
      <c r="E77" s="707"/>
      <c r="F77" s="709"/>
      <c r="H77" s="684"/>
      <c r="J77" s="684" t="str">
        <f t="shared" si="2"/>
        <v/>
      </c>
    </row>
    <row r="78" spans="2:10" ht="12.75">
      <c r="B78" s="732"/>
      <c r="J78" s="684" t="str">
        <f t="shared" si="2"/>
        <v/>
      </c>
    </row>
    <row r="79" spans="1:10" s="686" customFormat="1" ht="12.75">
      <c r="A79" s="720"/>
      <c r="B79" s="684"/>
      <c r="D79" s="723"/>
      <c r="E79" s="723"/>
      <c r="F79" s="722"/>
      <c r="H79" s="684"/>
      <c r="J79" s="684" t="str">
        <f t="shared" si="2"/>
        <v/>
      </c>
    </row>
    <row r="80" ht="12.75">
      <c r="J80" s="684" t="str">
        <f t="shared" si="2"/>
        <v/>
      </c>
    </row>
    <row r="81" ht="12.75">
      <c r="J81" s="684" t="str">
        <f t="shared" si="2"/>
        <v/>
      </c>
    </row>
    <row r="82" ht="12.75">
      <c r="J82" s="684" t="str">
        <f t="shared" si="2"/>
        <v/>
      </c>
    </row>
    <row r="83" ht="12.75">
      <c r="J83" s="684" t="str">
        <f t="shared" si="2"/>
        <v/>
      </c>
    </row>
    <row r="84" ht="12.75">
      <c r="J84" s="684" t="str">
        <f t="shared" si="2"/>
        <v/>
      </c>
    </row>
    <row r="85" ht="12.75">
      <c r="J85" s="684" t="str">
        <f t="shared" si="2"/>
        <v/>
      </c>
    </row>
    <row r="86" ht="12.75">
      <c r="J86" s="684" t="str">
        <f t="shared" si="2"/>
        <v/>
      </c>
    </row>
    <row r="87" ht="12.75">
      <c r="J87" s="684" t="str">
        <f t="shared" si="2"/>
        <v/>
      </c>
    </row>
    <row r="88" ht="12.75">
      <c r="J88" s="684" t="str">
        <f t="shared" si="2"/>
        <v/>
      </c>
    </row>
    <row r="89" ht="12.75">
      <c r="J89" s="684" t="str">
        <f t="shared" si="2"/>
        <v/>
      </c>
    </row>
    <row r="90" ht="12.75">
      <c r="J90" s="684" t="str">
        <f t="shared" si="2"/>
        <v/>
      </c>
    </row>
    <row r="91" ht="12.75">
      <c r="J91" s="684" t="str">
        <f t="shared" si="2"/>
        <v/>
      </c>
    </row>
    <row r="92" ht="12.75">
      <c r="J92" s="684" t="str">
        <f t="shared" si="2"/>
        <v/>
      </c>
    </row>
    <row r="93" ht="12.75">
      <c r="J93" s="684" t="str">
        <f t="shared" si="2"/>
        <v/>
      </c>
    </row>
    <row r="94" ht="12.75">
      <c r="J94" s="684" t="str">
        <f t="shared" si="2"/>
        <v/>
      </c>
    </row>
    <row r="95" ht="12.75">
      <c r="J95" s="684" t="str">
        <f t="shared" si="2"/>
        <v/>
      </c>
    </row>
    <row r="96" ht="12.75">
      <c r="J96" s="684" t="str">
        <f t="shared" si="2"/>
        <v/>
      </c>
    </row>
    <row r="97" ht="12.75">
      <c r="J97" s="684" t="str">
        <f t="shared" si="2"/>
        <v/>
      </c>
    </row>
    <row r="98" ht="12.75">
      <c r="J98" s="684" t="str">
        <f t="shared" si="2"/>
        <v/>
      </c>
    </row>
    <row r="99" spans="1:10" s="686" customFormat="1" ht="12.75">
      <c r="A99" s="720"/>
      <c r="D99" s="723"/>
      <c r="E99" s="723"/>
      <c r="F99" s="722"/>
      <c r="H99" s="684"/>
      <c r="J99" s="684" t="str">
        <f t="shared" si="2"/>
        <v/>
      </c>
    </row>
    <row r="100" ht="12.75">
      <c r="J100" s="684" t="str">
        <f t="shared" si="2"/>
        <v/>
      </c>
    </row>
    <row r="101" spans="1:10" s="686" customFormat="1" ht="12.75">
      <c r="A101" s="720"/>
      <c r="D101" s="723"/>
      <c r="E101" s="723"/>
      <c r="F101" s="722"/>
      <c r="H101" s="684"/>
      <c r="J101" s="684" t="str">
        <f t="shared" si="2"/>
        <v/>
      </c>
    </row>
    <row r="102" ht="12.75">
      <c r="J102" s="684" t="str">
        <f t="shared" si="2"/>
        <v/>
      </c>
    </row>
    <row r="103" ht="12.75">
      <c r="J103" s="684" t="str">
        <f t="shared" si="2"/>
        <v/>
      </c>
    </row>
    <row r="104" ht="12.75">
      <c r="J104" s="684" t="str">
        <f t="shared" si="2"/>
        <v/>
      </c>
    </row>
    <row r="105" ht="12.75">
      <c r="J105" s="684" t="str">
        <f t="shared" si="2"/>
        <v/>
      </c>
    </row>
    <row r="106" ht="12.75">
      <c r="J106" s="684" t="str">
        <f t="shared" si="2"/>
        <v/>
      </c>
    </row>
    <row r="107" ht="12.75">
      <c r="J107" s="684" t="str">
        <f t="shared" si="2"/>
        <v/>
      </c>
    </row>
    <row r="108" ht="12.75">
      <c r="J108" s="684" t="str">
        <f t="shared" si="2"/>
        <v/>
      </c>
    </row>
    <row r="109" ht="12.75">
      <c r="J109" s="684" t="str">
        <f t="shared" si="2"/>
        <v/>
      </c>
    </row>
    <row r="110" ht="12.75">
      <c r="J110" s="684" t="str">
        <f t="shared" si="2"/>
        <v/>
      </c>
    </row>
    <row r="111" spans="1:10" s="686" customFormat="1" ht="12.75">
      <c r="A111" s="720"/>
      <c r="D111" s="723"/>
      <c r="E111" s="723"/>
      <c r="F111" s="722"/>
      <c r="H111" s="684"/>
      <c r="J111" s="684" t="str">
        <f t="shared" si="2"/>
        <v/>
      </c>
    </row>
    <row r="112" ht="12.75">
      <c r="J112" s="684" t="str">
        <f t="shared" si="2"/>
        <v/>
      </c>
    </row>
    <row r="113" spans="1:10" s="686" customFormat="1" ht="12.75">
      <c r="A113" s="720"/>
      <c r="D113" s="723"/>
      <c r="E113" s="723"/>
      <c r="F113" s="722"/>
      <c r="H113" s="684"/>
      <c r="J113" s="684" t="str">
        <f t="shared" si="2"/>
        <v/>
      </c>
    </row>
    <row r="114" ht="12.75">
      <c r="J114" s="684" t="str">
        <f t="shared" si="2"/>
        <v/>
      </c>
    </row>
    <row r="115" ht="12.75">
      <c r="J115" s="684" t="str">
        <f t="shared" si="2"/>
        <v/>
      </c>
    </row>
    <row r="116" spans="1:10" s="686" customFormat="1" ht="12.75">
      <c r="A116" s="720"/>
      <c r="D116" s="723"/>
      <c r="E116" s="723"/>
      <c r="F116" s="722"/>
      <c r="H116" s="684"/>
      <c r="J116" s="684" t="str">
        <f t="shared" si="2"/>
        <v/>
      </c>
    </row>
    <row r="117" ht="12.75">
      <c r="J117" s="684" t="str">
        <f t="shared" si="2"/>
        <v/>
      </c>
    </row>
    <row r="118" spans="1:10" s="686" customFormat="1" ht="12.75">
      <c r="A118" s="720"/>
      <c r="D118" s="723"/>
      <c r="E118" s="723"/>
      <c r="F118" s="722"/>
      <c r="H118" s="684"/>
      <c r="J118" s="684" t="str">
        <f t="shared" si="2"/>
        <v/>
      </c>
    </row>
    <row r="119" ht="12.75">
      <c r="J119" s="684" t="str">
        <f t="shared" si="2"/>
        <v/>
      </c>
    </row>
    <row r="120" ht="12.75">
      <c r="J120" s="684" t="str">
        <f t="shared" si="2"/>
        <v/>
      </c>
    </row>
    <row r="121" ht="12.75">
      <c r="J121" s="684" t="str">
        <f t="shared" si="2"/>
        <v/>
      </c>
    </row>
    <row r="122" spans="1:10" s="686" customFormat="1" ht="12.75">
      <c r="A122" s="720"/>
      <c r="D122" s="723"/>
      <c r="E122" s="723"/>
      <c r="F122" s="722"/>
      <c r="H122" s="684"/>
      <c r="J122" s="684" t="str">
        <f t="shared" si="2"/>
        <v/>
      </c>
    </row>
    <row r="123" ht="12.75">
      <c r="J123" s="684" t="str">
        <f t="shared" si="2"/>
        <v/>
      </c>
    </row>
    <row r="124" spans="1:10" s="686" customFormat="1" ht="12.75">
      <c r="A124" s="720"/>
      <c r="D124" s="723"/>
      <c r="E124" s="723"/>
      <c r="F124" s="722"/>
      <c r="H124" s="684"/>
      <c r="J124" s="684" t="str">
        <f t="shared" si="2"/>
        <v/>
      </c>
    </row>
    <row r="125" ht="12.75">
      <c r="J125" s="684" t="str">
        <f aca="true" t="shared" si="4" ref="J125:J188">IF(H125=0,"",F125*0.22)</f>
        <v/>
      </c>
    </row>
    <row r="126" ht="12.75">
      <c r="J126" s="684" t="str">
        <f t="shared" si="4"/>
        <v/>
      </c>
    </row>
    <row r="127" spans="1:10" s="686" customFormat="1" ht="12.75">
      <c r="A127" s="720"/>
      <c r="D127" s="723"/>
      <c r="E127" s="723"/>
      <c r="F127" s="722"/>
      <c r="H127" s="684"/>
      <c r="J127" s="684" t="str">
        <f t="shared" si="4"/>
        <v/>
      </c>
    </row>
    <row r="128" ht="12.75">
      <c r="J128" s="684" t="str">
        <f t="shared" si="4"/>
        <v/>
      </c>
    </row>
    <row r="129" spans="1:10" s="686" customFormat="1" ht="12.75">
      <c r="A129" s="720"/>
      <c r="D129" s="723"/>
      <c r="E129" s="723"/>
      <c r="F129" s="722"/>
      <c r="H129" s="684"/>
      <c r="J129" s="684" t="str">
        <f t="shared" si="4"/>
        <v/>
      </c>
    </row>
    <row r="130" ht="12.75">
      <c r="J130" s="684" t="str">
        <f t="shared" si="4"/>
        <v/>
      </c>
    </row>
    <row r="131" ht="12.75">
      <c r="J131" s="684" t="str">
        <f t="shared" si="4"/>
        <v/>
      </c>
    </row>
    <row r="132" spans="1:10" s="686" customFormat="1" ht="12.75">
      <c r="A132" s="720"/>
      <c r="D132" s="723"/>
      <c r="E132" s="723"/>
      <c r="F132" s="722"/>
      <c r="H132" s="684"/>
      <c r="J132" s="684" t="str">
        <f t="shared" si="4"/>
        <v/>
      </c>
    </row>
    <row r="133" ht="12.75">
      <c r="J133" s="684" t="str">
        <f t="shared" si="4"/>
        <v/>
      </c>
    </row>
    <row r="134" spans="1:10" s="686" customFormat="1" ht="12.75">
      <c r="A134" s="720"/>
      <c r="D134" s="723"/>
      <c r="E134" s="723"/>
      <c r="F134" s="722"/>
      <c r="H134" s="684"/>
      <c r="J134" s="684" t="str">
        <f t="shared" si="4"/>
        <v/>
      </c>
    </row>
    <row r="135" ht="12.75">
      <c r="J135" s="684" t="str">
        <f t="shared" si="4"/>
        <v/>
      </c>
    </row>
    <row r="136" ht="12.75">
      <c r="J136" s="684" t="str">
        <f t="shared" si="4"/>
        <v/>
      </c>
    </row>
    <row r="137" ht="12.75">
      <c r="J137" s="684" t="str">
        <f t="shared" si="4"/>
        <v/>
      </c>
    </row>
    <row r="138" ht="12.75">
      <c r="J138" s="684" t="str">
        <f t="shared" si="4"/>
        <v/>
      </c>
    </row>
    <row r="139" spans="1:10" s="686" customFormat="1" ht="12.75">
      <c r="A139" s="720"/>
      <c r="D139" s="723"/>
      <c r="E139" s="723"/>
      <c r="F139" s="722"/>
      <c r="H139" s="684"/>
      <c r="J139" s="684" t="str">
        <f t="shared" si="4"/>
        <v/>
      </c>
    </row>
    <row r="140" ht="12.75">
      <c r="J140" s="684" t="str">
        <f t="shared" si="4"/>
        <v/>
      </c>
    </row>
    <row r="141" spans="1:10" s="686" customFormat="1" ht="12.75">
      <c r="A141" s="720"/>
      <c r="D141" s="723"/>
      <c r="E141" s="723"/>
      <c r="F141" s="722"/>
      <c r="H141" s="684"/>
      <c r="J141" s="684" t="str">
        <f t="shared" si="4"/>
        <v/>
      </c>
    </row>
    <row r="142" ht="12.75">
      <c r="J142" s="684" t="str">
        <f t="shared" si="4"/>
        <v/>
      </c>
    </row>
    <row r="143" ht="12.75">
      <c r="J143" s="684" t="str">
        <f t="shared" si="4"/>
        <v/>
      </c>
    </row>
    <row r="144" spans="1:10" s="686" customFormat="1" ht="12.75">
      <c r="A144" s="720"/>
      <c r="D144" s="723"/>
      <c r="E144" s="723"/>
      <c r="F144" s="722"/>
      <c r="H144" s="684"/>
      <c r="J144" s="684" t="str">
        <f t="shared" si="4"/>
        <v/>
      </c>
    </row>
    <row r="145" ht="12.75">
      <c r="J145" s="684" t="str">
        <f t="shared" si="4"/>
        <v/>
      </c>
    </row>
    <row r="146" spans="1:10" s="686" customFormat="1" ht="12.75">
      <c r="A146" s="720"/>
      <c r="D146" s="723"/>
      <c r="E146" s="723"/>
      <c r="F146" s="722"/>
      <c r="H146" s="684"/>
      <c r="J146" s="684" t="str">
        <f t="shared" si="4"/>
        <v/>
      </c>
    </row>
    <row r="147" ht="12.75">
      <c r="J147" s="684" t="str">
        <f t="shared" si="4"/>
        <v/>
      </c>
    </row>
    <row r="148" ht="12.75">
      <c r="J148" s="684" t="str">
        <f t="shared" si="4"/>
        <v/>
      </c>
    </row>
    <row r="149" ht="12.75">
      <c r="J149" s="684" t="str">
        <f t="shared" si="4"/>
        <v/>
      </c>
    </row>
    <row r="150" ht="12.75">
      <c r="J150" s="684" t="str">
        <f t="shared" si="4"/>
        <v/>
      </c>
    </row>
    <row r="151" ht="12.75">
      <c r="J151" s="684" t="str">
        <f t="shared" si="4"/>
        <v/>
      </c>
    </row>
    <row r="152" ht="12.75">
      <c r="J152" s="684" t="str">
        <f t="shared" si="4"/>
        <v/>
      </c>
    </row>
    <row r="153" ht="12.75">
      <c r="J153" s="684" t="str">
        <f t="shared" si="4"/>
        <v/>
      </c>
    </row>
    <row r="154" ht="12.75">
      <c r="J154" s="684" t="str">
        <f t="shared" si="4"/>
        <v/>
      </c>
    </row>
    <row r="155" ht="12.75">
      <c r="J155" s="684" t="str">
        <f t="shared" si="4"/>
        <v/>
      </c>
    </row>
    <row r="156" ht="12.75">
      <c r="J156" s="684" t="str">
        <f t="shared" si="4"/>
        <v/>
      </c>
    </row>
    <row r="157" ht="12.75">
      <c r="J157" s="684" t="str">
        <f t="shared" si="4"/>
        <v/>
      </c>
    </row>
    <row r="158" ht="12.75">
      <c r="J158" s="684" t="str">
        <f t="shared" si="4"/>
        <v/>
      </c>
    </row>
    <row r="159" ht="12.75">
      <c r="J159" s="684" t="str">
        <f t="shared" si="4"/>
        <v/>
      </c>
    </row>
    <row r="160" ht="12.75">
      <c r="J160" s="684" t="str">
        <f t="shared" si="4"/>
        <v/>
      </c>
    </row>
    <row r="161" ht="12.75">
      <c r="J161" s="684" t="str">
        <f t="shared" si="4"/>
        <v/>
      </c>
    </row>
    <row r="162" ht="12.75">
      <c r="J162" s="684" t="str">
        <f t="shared" si="4"/>
        <v/>
      </c>
    </row>
    <row r="163" ht="12.75">
      <c r="J163" s="684" t="str">
        <f t="shared" si="4"/>
        <v/>
      </c>
    </row>
    <row r="164" ht="12.75">
      <c r="J164" s="684" t="str">
        <f t="shared" si="4"/>
        <v/>
      </c>
    </row>
    <row r="165" ht="12.75">
      <c r="J165" s="684" t="str">
        <f t="shared" si="4"/>
        <v/>
      </c>
    </row>
    <row r="166" ht="12.75">
      <c r="J166" s="684" t="str">
        <f t="shared" si="4"/>
        <v/>
      </c>
    </row>
    <row r="167" ht="12.75">
      <c r="J167" s="684" t="str">
        <f t="shared" si="4"/>
        <v/>
      </c>
    </row>
    <row r="168" ht="12.75">
      <c r="J168" s="684" t="str">
        <f t="shared" si="4"/>
        <v/>
      </c>
    </row>
    <row r="169" ht="12.75">
      <c r="J169" s="684" t="str">
        <f t="shared" si="4"/>
        <v/>
      </c>
    </row>
    <row r="170" spans="1:10" s="686" customFormat="1" ht="12.75">
      <c r="A170" s="720"/>
      <c r="D170" s="723"/>
      <c r="E170" s="723"/>
      <c r="F170" s="722"/>
      <c r="H170" s="684"/>
      <c r="J170" s="684" t="str">
        <f t="shared" si="4"/>
        <v/>
      </c>
    </row>
    <row r="171" ht="12.75">
      <c r="J171" s="684" t="str">
        <f t="shared" si="4"/>
        <v/>
      </c>
    </row>
    <row r="172" spans="1:10" s="686" customFormat="1" ht="12.75">
      <c r="A172" s="720"/>
      <c r="D172" s="723"/>
      <c r="E172" s="723"/>
      <c r="F172" s="722"/>
      <c r="H172" s="684"/>
      <c r="J172" s="684" t="str">
        <f t="shared" si="4"/>
        <v/>
      </c>
    </row>
    <row r="173" ht="12.75">
      <c r="J173" s="684" t="str">
        <f t="shared" si="4"/>
        <v/>
      </c>
    </row>
    <row r="174" ht="12.75">
      <c r="J174" s="684" t="str">
        <f t="shared" si="4"/>
        <v/>
      </c>
    </row>
    <row r="175" ht="12.75">
      <c r="J175" s="684" t="str">
        <f t="shared" si="4"/>
        <v/>
      </c>
    </row>
    <row r="176" spans="1:10" s="686" customFormat="1" ht="12.75">
      <c r="A176" s="720"/>
      <c r="D176" s="723"/>
      <c r="E176" s="723"/>
      <c r="F176" s="722"/>
      <c r="H176" s="684"/>
      <c r="J176" s="684" t="str">
        <f t="shared" si="4"/>
        <v/>
      </c>
    </row>
    <row r="177" ht="12.75">
      <c r="J177" s="684" t="str">
        <f t="shared" si="4"/>
        <v/>
      </c>
    </row>
    <row r="178" spans="1:10" s="686" customFormat="1" ht="12.75">
      <c r="A178" s="720"/>
      <c r="D178" s="723"/>
      <c r="E178" s="723"/>
      <c r="F178" s="722"/>
      <c r="H178" s="684"/>
      <c r="J178" s="684" t="str">
        <f t="shared" si="4"/>
        <v/>
      </c>
    </row>
    <row r="179" ht="12.75">
      <c r="J179" s="684" t="str">
        <f t="shared" si="4"/>
        <v/>
      </c>
    </row>
    <row r="180" ht="12.75">
      <c r="J180" s="684" t="str">
        <f t="shared" si="4"/>
        <v/>
      </c>
    </row>
    <row r="181" ht="12.75">
      <c r="J181" s="684" t="str">
        <f t="shared" si="4"/>
        <v/>
      </c>
    </row>
    <row r="182" spans="1:10" s="686" customFormat="1" ht="12.75">
      <c r="A182" s="720"/>
      <c r="D182" s="723"/>
      <c r="E182" s="723"/>
      <c r="F182" s="722"/>
      <c r="H182" s="684"/>
      <c r="J182" s="684" t="str">
        <f t="shared" si="4"/>
        <v/>
      </c>
    </row>
    <row r="183" ht="12.75">
      <c r="J183" s="684" t="str">
        <f t="shared" si="4"/>
        <v/>
      </c>
    </row>
    <row r="184" spans="1:10" s="686" customFormat="1" ht="12.75">
      <c r="A184" s="720"/>
      <c r="D184" s="723"/>
      <c r="E184" s="723"/>
      <c r="F184" s="722"/>
      <c r="H184" s="684"/>
      <c r="J184" s="684" t="str">
        <f t="shared" si="4"/>
        <v/>
      </c>
    </row>
    <row r="185" ht="12.75">
      <c r="J185" s="684" t="str">
        <f t="shared" si="4"/>
        <v/>
      </c>
    </row>
    <row r="186" ht="12.75">
      <c r="J186" s="684" t="str">
        <f t="shared" si="4"/>
        <v/>
      </c>
    </row>
    <row r="187" ht="12.75">
      <c r="J187" s="684" t="str">
        <f t="shared" si="4"/>
        <v/>
      </c>
    </row>
    <row r="188" ht="12.75">
      <c r="J188" s="684" t="str">
        <f t="shared" si="4"/>
        <v/>
      </c>
    </row>
    <row r="189" spans="1:10" s="686" customFormat="1" ht="12.75">
      <c r="A189" s="720"/>
      <c r="D189" s="723"/>
      <c r="E189" s="723"/>
      <c r="F189" s="722"/>
      <c r="H189" s="684"/>
      <c r="J189" s="684" t="str">
        <f aca="true" t="shared" si="5" ref="J189:J252">IF(H189=0,"",F189*0.22)</f>
        <v/>
      </c>
    </row>
    <row r="190" ht="12.75">
      <c r="J190" s="684" t="str">
        <f t="shared" si="5"/>
        <v/>
      </c>
    </row>
    <row r="191" spans="1:10" s="686" customFormat="1" ht="12.75">
      <c r="A191" s="720"/>
      <c r="D191" s="723"/>
      <c r="E191" s="723"/>
      <c r="F191" s="722"/>
      <c r="H191" s="684"/>
      <c r="J191" s="684" t="str">
        <f t="shared" si="5"/>
        <v/>
      </c>
    </row>
    <row r="192" ht="12.75">
      <c r="J192" s="684" t="str">
        <f t="shared" si="5"/>
        <v/>
      </c>
    </row>
    <row r="193" ht="12.75">
      <c r="J193" s="684" t="str">
        <f t="shared" si="5"/>
        <v/>
      </c>
    </row>
    <row r="194" ht="12.75">
      <c r="J194" s="684" t="str">
        <f t="shared" si="5"/>
        <v/>
      </c>
    </row>
    <row r="195" spans="1:10" s="686" customFormat="1" ht="12.75">
      <c r="A195" s="720"/>
      <c r="D195" s="723"/>
      <c r="E195" s="723"/>
      <c r="F195" s="722"/>
      <c r="H195" s="684"/>
      <c r="J195" s="684" t="str">
        <f t="shared" si="5"/>
        <v/>
      </c>
    </row>
    <row r="196" ht="12.75">
      <c r="J196" s="684" t="str">
        <f t="shared" si="5"/>
        <v/>
      </c>
    </row>
    <row r="197" spans="1:10" s="686" customFormat="1" ht="12.75">
      <c r="A197" s="720"/>
      <c r="D197" s="723"/>
      <c r="E197" s="723"/>
      <c r="F197" s="722"/>
      <c r="H197" s="684"/>
      <c r="J197" s="684" t="str">
        <f t="shared" si="5"/>
        <v/>
      </c>
    </row>
    <row r="198" ht="12.75">
      <c r="J198" s="684" t="str">
        <f t="shared" si="5"/>
        <v/>
      </c>
    </row>
    <row r="199" ht="12.75">
      <c r="J199" s="684" t="str">
        <f t="shared" si="5"/>
        <v/>
      </c>
    </row>
    <row r="200" spans="1:10" s="686" customFormat="1" ht="12.75">
      <c r="A200" s="720"/>
      <c r="D200" s="723"/>
      <c r="E200" s="723"/>
      <c r="F200" s="722"/>
      <c r="H200" s="684"/>
      <c r="J200" s="684" t="str">
        <f t="shared" si="5"/>
        <v/>
      </c>
    </row>
    <row r="201" ht="12.75">
      <c r="J201" s="684" t="str">
        <f t="shared" si="5"/>
        <v/>
      </c>
    </row>
    <row r="202" ht="12.75">
      <c r="J202" s="684" t="str">
        <f t="shared" si="5"/>
        <v/>
      </c>
    </row>
    <row r="203" ht="12.75">
      <c r="J203" s="684" t="str">
        <f t="shared" si="5"/>
        <v/>
      </c>
    </row>
    <row r="204" ht="12.75">
      <c r="J204" s="684" t="str">
        <f t="shared" si="5"/>
        <v/>
      </c>
    </row>
    <row r="205" ht="12.75">
      <c r="J205" s="684" t="str">
        <f t="shared" si="5"/>
        <v/>
      </c>
    </row>
    <row r="206" ht="12.75">
      <c r="J206" s="684" t="str">
        <f t="shared" si="5"/>
        <v/>
      </c>
    </row>
    <row r="207" ht="12.75">
      <c r="J207" s="684" t="str">
        <f t="shared" si="5"/>
        <v/>
      </c>
    </row>
    <row r="208" ht="12.75">
      <c r="J208" s="684" t="str">
        <f t="shared" si="5"/>
        <v/>
      </c>
    </row>
    <row r="209" ht="12.75">
      <c r="J209" s="684" t="str">
        <f t="shared" si="5"/>
        <v/>
      </c>
    </row>
    <row r="210" ht="12.75">
      <c r="J210" s="684" t="str">
        <f t="shared" si="5"/>
        <v/>
      </c>
    </row>
    <row r="211" ht="12.75">
      <c r="J211" s="684" t="str">
        <f t="shared" si="5"/>
        <v/>
      </c>
    </row>
    <row r="212" ht="12.75">
      <c r="J212" s="684" t="str">
        <f t="shared" si="5"/>
        <v/>
      </c>
    </row>
    <row r="213" ht="12.75">
      <c r="J213" s="684" t="str">
        <f t="shared" si="5"/>
        <v/>
      </c>
    </row>
    <row r="214" ht="12.75">
      <c r="J214" s="684" t="str">
        <f t="shared" si="5"/>
        <v/>
      </c>
    </row>
    <row r="215" ht="12.75">
      <c r="J215" s="684" t="str">
        <f t="shared" si="5"/>
        <v/>
      </c>
    </row>
    <row r="216" ht="12.75">
      <c r="J216" s="684" t="str">
        <f t="shared" si="5"/>
        <v/>
      </c>
    </row>
    <row r="217" ht="12.75">
      <c r="J217" s="684" t="str">
        <f t="shared" si="5"/>
        <v/>
      </c>
    </row>
    <row r="218" ht="12.75">
      <c r="J218" s="684" t="str">
        <f t="shared" si="5"/>
        <v/>
      </c>
    </row>
    <row r="219" ht="12.75">
      <c r="J219" s="684" t="str">
        <f t="shared" si="5"/>
        <v/>
      </c>
    </row>
    <row r="220" ht="12.75">
      <c r="J220" s="684" t="str">
        <f t="shared" si="5"/>
        <v/>
      </c>
    </row>
    <row r="221" ht="12.75">
      <c r="J221" s="684" t="str">
        <f t="shared" si="5"/>
        <v/>
      </c>
    </row>
    <row r="222" ht="12.75">
      <c r="J222" s="684" t="str">
        <f t="shared" si="5"/>
        <v/>
      </c>
    </row>
    <row r="223" ht="12.75">
      <c r="J223" s="684" t="str">
        <f t="shared" si="5"/>
        <v/>
      </c>
    </row>
    <row r="224" ht="12.75">
      <c r="J224" s="684" t="str">
        <f t="shared" si="5"/>
        <v/>
      </c>
    </row>
    <row r="225" ht="12.75">
      <c r="J225" s="684" t="str">
        <f t="shared" si="5"/>
        <v/>
      </c>
    </row>
    <row r="226" ht="12.75">
      <c r="J226" s="684" t="str">
        <f t="shared" si="5"/>
        <v/>
      </c>
    </row>
    <row r="227" ht="12.75">
      <c r="J227" s="684" t="str">
        <f t="shared" si="5"/>
        <v/>
      </c>
    </row>
    <row r="228" ht="12.75">
      <c r="J228" s="684" t="str">
        <f t="shared" si="5"/>
        <v/>
      </c>
    </row>
    <row r="229" ht="12.75">
      <c r="J229" s="684" t="str">
        <f t="shared" si="5"/>
        <v/>
      </c>
    </row>
    <row r="230" ht="12.75">
      <c r="J230" s="684" t="str">
        <f t="shared" si="5"/>
        <v/>
      </c>
    </row>
    <row r="231" ht="12.75">
      <c r="J231" s="684" t="str">
        <f t="shared" si="5"/>
        <v/>
      </c>
    </row>
    <row r="232" ht="12.75">
      <c r="J232" s="684" t="str">
        <f t="shared" si="5"/>
        <v/>
      </c>
    </row>
    <row r="233" ht="12.75">
      <c r="J233" s="684" t="str">
        <f t="shared" si="5"/>
        <v/>
      </c>
    </row>
    <row r="234" ht="12.75">
      <c r="J234" s="684" t="str">
        <f t="shared" si="5"/>
        <v/>
      </c>
    </row>
    <row r="235" ht="12.75">
      <c r="J235" s="684" t="str">
        <f t="shared" si="5"/>
        <v/>
      </c>
    </row>
    <row r="236" ht="12.75">
      <c r="J236" s="684" t="str">
        <f t="shared" si="5"/>
        <v/>
      </c>
    </row>
    <row r="237" ht="12.75">
      <c r="J237" s="684" t="str">
        <f t="shared" si="5"/>
        <v/>
      </c>
    </row>
    <row r="238" ht="12.75">
      <c r="J238" s="684" t="str">
        <f t="shared" si="5"/>
        <v/>
      </c>
    </row>
    <row r="239" ht="12.75">
      <c r="J239" s="684" t="str">
        <f t="shared" si="5"/>
        <v/>
      </c>
    </row>
    <row r="240" ht="12.75">
      <c r="J240" s="684" t="str">
        <f t="shared" si="5"/>
        <v/>
      </c>
    </row>
    <row r="241" ht="12.75">
      <c r="J241" s="684" t="str">
        <f t="shared" si="5"/>
        <v/>
      </c>
    </row>
    <row r="242" ht="12.75">
      <c r="J242" s="684" t="str">
        <f t="shared" si="5"/>
        <v/>
      </c>
    </row>
    <row r="243" ht="12.75">
      <c r="J243" s="684" t="str">
        <f t="shared" si="5"/>
        <v/>
      </c>
    </row>
    <row r="244" ht="12.75">
      <c r="J244" s="684" t="str">
        <f t="shared" si="5"/>
        <v/>
      </c>
    </row>
    <row r="245" ht="12.75">
      <c r="J245" s="684" t="str">
        <f t="shared" si="5"/>
        <v/>
      </c>
    </row>
    <row r="246" ht="12.75">
      <c r="J246" s="684" t="str">
        <f t="shared" si="5"/>
        <v/>
      </c>
    </row>
    <row r="247" ht="12.75">
      <c r="J247" s="684" t="str">
        <f t="shared" si="5"/>
        <v/>
      </c>
    </row>
    <row r="248" ht="12.75">
      <c r="J248" s="684" t="str">
        <f t="shared" si="5"/>
        <v/>
      </c>
    </row>
    <row r="249" ht="12.75">
      <c r="J249" s="684" t="str">
        <f t="shared" si="5"/>
        <v/>
      </c>
    </row>
    <row r="250" ht="12.75">
      <c r="J250" s="684" t="str">
        <f t="shared" si="5"/>
        <v/>
      </c>
    </row>
    <row r="251" ht="12.75">
      <c r="J251" s="684" t="str">
        <f t="shared" si="5"/>
        <v/>
      </c>
    </row>
    <row r="252" ht="12.75">
      <c r="J252" s="684" t="str">
        <f t="shared" si="5"/>
        <v/>
      </c>
    </row>
    <row r="253" ht="12.75">
      <c r="J253" s="684" t="str">
        <f aca="true" t="shared" si="6" ref="J253:J316">IF(H253=0,"",F253*0.22)</f>
        <v/>
      </c>
    </row>
    <row r="254" ht="12.75">
      <c r="J254" s="684" t="str">
        <f t="shared" si="6"/>
        <v/>
      </c>
    </row>
    <row r="255" ht="12.75">
      <c r="J255" s="684" t="str">
        <f t="shared" si="6"/>
        <v/>
      </c>
    </row>
    <row r="256" ht="12.75">
      <c r="J256" s="684" t="str">
        <f t="shared" si="6"/>
        <v/>
      </c>
    </row>
    <row r="257" ht="12.75">
      <c r="J257" s="684" t="str">
        <f t="shared" si="6"/>
        <v/>
      </c>
    </row>
    <row r="258" ht="12.75">
      <c r="J258" s="684" t="str">
        <f t="shared" si="6"/>
        <v/>
      </c>
    </row>
    <row r="259" ht="12.75">
      <c r="J259" s="684" t="str">
        <f t="shared" si="6"/>
        <v/>
      </c>
    </row>
    <row r="260" ht="12.75">
      <c r="J260" s="684" t="str">
        <f t="shared" si="6"/>
        <v/>
      </c>
    </row>
    <row r="261" ht="12.75">
      <c r="J261" s="684" t="str">
        <f t="shared" si="6"/>
        <v/>
      </c>
    </row>
    <row r="262" ht="12.75">
      <c r="J262" s="684" t="str">
        <f t="shared" si="6"/>
        <v/>
      </c>
    </row>
    <row r="263" ht="12.75">
      <c r="J263" s="684" t="str">
        <f t="shared" si="6"/>
        <v/>
      </c>
    </row>
    <row r="264" ht="12.75">
      <c r="J264" s="684" t="str">
        <f t="shared" si="6"/>
        <v/>
      </c>
    </row>
    <row r="265" ht="12.75">
      <c r="J265" s="684" t="str">
        <f t="shared" si="6"/>
        <v/>
      </c>
    </row>
    <row r="266" ht="12.75">
      <c r="J266" s="684" t="str">
        <f t="shared" si="6"/>
        <v/>
      </c>
    </row>
    <row r="267" ht="12.75">
      <c r="J267" s="684" t="str">
        <f t="shared" si="6"/>
        <v/>
      </c>
    </row>
    <row r="268" ht="12.75">
      <c r="J268" s="684" t="str">
        <f t="shared" si="6"/>
        <v/>
      </c>
    </row>
    <row r="269" ht="12.75">
      <c r="J269" s="684" t="str">
        <f t="shared" si="6"/>
        <v/>
      </c>
    </row>
    <row r="270" ht="12.75">
      <c r="J270" s="684" t="str">
        <f t="shared" si="6"/>
        <v/>
      </c>
    </row>
    <row r="271" ht="12.75">
      <c r="J271" s="684" t="str">
        <f t="shared" si="6"/>
        <v/>
      </c>
    </row>
    <row r="272" ht="12.75">
      <c r="J272" s="684" t="str">
        <f t="shared" si="6"/>
        <v/>
      </c>
    </row>
    <row r="273" ht="12.75">
      <c r="J273" s="684" t="str">
        <f t="shared" si="6"/>
        <v/>
      </c>
    </row>
    <row r="274" ht="12.75">
      <c r="J274" s="684" t="str">
        <f t="shared" si="6"/>
        <v/>
      </c>
    </row>
    <row r="275" ht="12.75">
      <c r="J275" s="684" t="str">
        <f t="shared" si="6"/>
        <v/>
      </c>
    </row>
    <row r="276" ht="12.75">
      <c r="J276" s="684" t="str">
        <f t="shared" si="6"/>
        <v/>
      </c>
    </row>
    <row r="277" ht="12.75">
      <c r="J277" s="684" t="str">
        <f t="shared" si="6"/>
        <v/>
      </c>
    </row>
    <row r="278" ht="12.75">
      <c r="J278" s="684" t="str">
        <f t="shared" si="6"/>
        <v/>
      </c>
    </row>
    <row r="279" ht="12.75">
      <c r="J279" s="684" t="str">
        <f t="shared" si="6"/>
        <v/>
      </c>
    </row>
    <row r="280" ht="12.75">
      <c r="J280" s="684" t="str">
        <f t="shared" si="6"/>
        <v/>
      </c>
    </row>
    <row r="281" ht="12.75">
      <c r="J281" s="684" t="str">
        <f t="shared" si="6"/>
        <v/>
      </c>
    </row>
    <row r="282" ht="12.75">
      <c r="J282" s="684" t="str">
        <f t="shared" si="6"/>
        <v/>
      </c>
    </row>
    <row r="283" ht="12.75">
      <c r="J283" s="684" t="str">
        <f t="shared" si="6"/>
        <v/>
      </c>
    </row>
    <row r="284" ht="12.75">
      <c r="J284" s="684" t="str">
        <f t="shared" si="6"/>
        <v/>
      </c>
    </row>
    <row r="285" ht="12.75">
      <c r="J285" s="684" t="str">
        <f t="shared" si="6"/>
        <v/>
      </c>
    </row>
    <row r="286" ht="12.75">
      <c r="J286" s="684" t="str">
        <f t="shared" si="6"/>
        <v/>
      </c>
    </row>
    <row r="287" ht="12.75">
      <c r="J287" s="684" t="str">
        <f t="shared" si="6"/>
        <v/>
      </c>
    </row>
    <row r="288" ht="12.75">
      <c r="J288" s="684" t="str">
        <f t="shared" si="6"/>
        <v/>
      </c>
    </row>
    <row r="289" ht="12.75">
      <c r="J289" s="684" t="str">
        <f t="shared" si="6"/>
        <v/>
      </c>
    </row>
    <row r="290" ht="12.75">
      <c r="J290" s="684" t="str">
        <f t="shared" si="6"/>
        <v/>
      </c>
    </row>
    <row r="291" ht="12.75">
      <c r="J291" s="684" t="str">
        <f t="shared" si="6"/>
        <v/>
      </c>
    </row>
    <row r="292" ht="12.75">
      <c r="J292" s="684" t="str">
        <f t="shared" si="6"/>
        <v/>
      </c>
    </row>
    <row r="293" ht="12.75">
      <c r="J293" s="684" t="str">
        <f t="shared" si="6"/>
        <v/>
      </c>
    </row>
    <row r="294" ht="12.75">
      <c r="J294" s="684" t="str">
        <f t="shared" si="6"/>
        <v/>
      </c>
    </row>
    <row r="295" ht="12.75">
      <c r="J295" s="684" t="str">
        <f t="shared" si="6"/>
        <v/>
      </c>
    </row>
    <row r="296" ht="12.75">
      <c r="J296" s="684" t="str">
        <f t="shared" si="6"/>
        <v/>
      </c>
    </row>
    <row r="297" ht="12.75">
      <c r="J297" s="684" t="str">
        <f t="shared" si="6"/>
        <v/>
      </c>
    </row>
    <row r="298" ht="12.75">
      <c r="J298" s="684" t="str">
        <f t="shared" si="6"/>
        <v/>
      </c>
    </row>
    <row r="299" ht="12.75">
      <c r="J299" s="684" t="str">
        <f t="shared" si="6"/>
        <v/>
      </c>
    </row>
    <row r="300" ht="12.75">
      <c r="J300" s="684" t="str">
        <f t="shared" si="6"/>
        <v/>
      </c>
    </row>
    <row r="301" ht="12.75">
      <c r="J301" s="684" t="str">
        <f t="shared" si="6"/>
        <v/>
      </c>
    </row>
    <row r="302" ht="12.75">
      <c r="J302" s="684" t="str">
        <f t="shared" si="6"/>
        <v/>
      </c>
    </row>
    <row r="303" ht="12.75">
      <c r="J303" s="684" t="str">
        <f t="shared" si="6"/>
        <v/>
      </c>
    </row>
    <row r="304" ht="12.75">
      <c r="J304" s="684" t="str">
        <f t="shared" si="6"/>
        <v/>
      </c>
    </row>
    <row r="305" ht="12.75">
      <c r="J305" s="684" t="str">
        <f t="shared" si="6"/>
        <v/>
      </c>
    </row>
    <row r="306" ht="12.75">
      <c r="J306" s="684" t="str">
        <f t="shared" si="6"/>
        <v/>
      </c>
    </row>
    <row r="307" ht="12.75">
      <c r="J307" s="684" t="str">
        <f t="shared" si="6"/>
        <v/>
      </c>
    </row>
    <row r="308" ht="12.75">
      <c r="J308" s="684" t="str">
        <f t="shared" si="6"/>
        <v/>
      </c>
    </row>
    <row r="309" ht="12.75">
      <c r="J309" s="684" t="str">
        <f t="shared" si="6"/>
        <v/>
      </c>
    </row>
    <row r="310" ht="12.75">
      <c r="J310" s="684" t="str">
        <f t="shared" si="6"/>
        <v/>
      </c>
    </row>
    <row r="311" ht="12.75">
      <c r="J311" s="684" t="str">
        <f t="shared" si="6"/>
        <v/>
      </c>
    </row>
    <row r="312" ht="12.75">
      <c r="J312" s="684" t="str">
        <f t="shared" si="6"/>
        <v/>
      </c>
    </row>
    <row r="313" ht="12.75">
      <c r="J313" s="684" t="str">
        <f t="shared" si="6"/>
        <v/>
      </c>
    </row>
    <row r="314" ht="12.75">
      <c r="J314" s="684" t="str">
        <f t="shared" si="6"/>
        <v/>
      </c>
    </row>
    <row r="315" ht="12.75">
      <c r="J315" s="684" t="str">
        <f t="shared" si="6"/>
        <v/>
      </c>
    </row>
    <row r="316" ht="12.75">
      <c r="J316" s="684" t="str">
        <f t="shared" si="6"/>
        <v/>
      </c>
    </row>
    <row r="317" ht="12.75">
      <c r="J317" s="684" t="str">
        <f aca="true" t="shared" si="7" ref="J317:J360">IF(H317=0,"",F317*0.22)</f>
        <v/>
      </c>
    </row>
    <row r="318" ht="12.75">
      <c r="J318" s="684" t="str">
        <f t="shared" si="7"/>
        <v/>
      </c>
    </row>
    <row r="319" ht="12.75">
      <c r="J319" s="684" t="str">
        <f t="shared" si="7"/>
        <v/>
      </c>
    </row>
    <row r="320" ht="12.75">
      <c r="J320" s="684" t="str">
        <f t="shared" si="7"/>
        <v/>
      </c>
    </row>
    <row r="321" ht="12.75">
      <c r="J321" s="684" t="str">
        <f t="shared" si="7"/>
        <v/>
      </c>
    </row>
    <row r="322" ht="12.75">
      <c r="J322" s="684" t="str">
        <f t="shared" si="7"/>
        <v/>
      </c>
    </row>
    <row r="323" ht="12.75">
      <c r="J323" s="684" t="str">
        <f t="shared" si="7"/>
        <v/>
      </c>
    </row>
    <row r="324" ht="12.75">
      <c r="J324" s="684" t="str">
        <f t="shared" si="7"/>
        <v/>
      </c>
    </row>
    <row r="325" ht="12.75">
      <c r="J325" s="684" t="str">
        <f t="shared" si="7"/>
        <v/>
      </c>
    </row>
    <row r="326" ht="12.75">
      <c r="J326" s="684" t="str">
        <f t="shared" si="7"/>
        <v/>
      </c>
    </row>
    <row r="327" ht="12.75">
      <c r="J327" s="684" t="str">
        <f t="shared" si="7"/>
        <v/>
      </c>
    </row>
    <row r="328" ht="12.75">
      <c r="J328" s="684" t="str">
        <f t="shared" si="7"/>
        <v/>
      </c>
    </row>
    <row r="329" ht="12.75">
      <c r="J329" s="684" t="str">
        <f t="shared" si="7"/>
        <v/>
      </c>
    </row>
    <row r="330" ht="12.75">
      <c r="J330" s="684" t="str">
        <f t="shared" si="7"/>
        <v/>
      </c>
    </row>
    <row r="331" ht="12.75">
      <c r="J331" s="684" t="str">
        <f t="shared" si="7"/>
        <v/>
      </c>
    </row>
    <row r="332" ht="12.75">
      <c r="J332" s="684" t="str">
        <f t="shared" si="7"/>
        <v/>
      </c>
    </row>
    <row r="333" ht="12.75">
      <c r="J333" s="684" t="str">
        <f t="shared" si="7"/>
        <v/>
      </c>
    </row>
    <row r="334" ht="12.75">
      <c r="J334" s="684" t="str">
        <f t="shared" si="7"/>
        <v/>
      </c>
    </row>
    <row r="335" ht="12.75">
      <c r="J335" s="684" t="str">
        <f t="shared" si="7"/>
        <v/>
      </c>
    </row>
    <row r="336" ht="12.75">
      <c r="J336" s="684" t="str">
        <f t="shared" si="7"/>
        <v/>
      </c>
    </row>
    <row r="337" ht="12.75">
      <c r="J337" s="684" t="str">
        <f t="shared" si="7"/>
        <v/>
      </c>
    </row>
    <row r="338" ht="12.75">
      <c r="J338" s="684" t="str">
        <f t="shared" si="7"/>
        <v/>
      </c>
    </row>
    <row r="339" ht="12.75">
      <c r="J339" s="684" t="str">
        <f t="shared" si="7"/>
        <v/>
      </c>
    </row>
    <row r="340" ht="12.75">
      <c r="J340" s="684" t="str">
        <f t="shared" si="7"/>
        <v/>
      </c>
    </row>
    <row r="341" ht="12.75">
      <c r="J341" s="684" t="str">
        <f t="shared" si="7"/>
        <v/>
      </c>
    </row>
    <row r="342" ht="12.75">
      <c r="J342" s="684" t="str">
        <f t="shared" si="7"/>
        <v/>
      </c>
    </row>
    <row r="343" ht="12.75">
      <c r="J343" s="684" t="str">
        <f t="shared" si="7"/>
        <v/>
      </c>
    </row>
    <row r="344" ht="12.75">
      <c r="J344" s="684" t="str">
        <f t="shared" si="7"/>
        <v/>
      </c>
    </row>
    <row r="345" ht="12.75">
      <c r="J345" s="684" t="str">
        <f t="shared" si="7"/>
        <v/>
      </c>
    </row>
    <row r="346" ht="12.75">
      <c r="J346" s="684" t="str">
        <f t="shared" si="7"/>
        <v/>
      </c>
    </row>
    <row r="347" ht="12.75">
      <c r="J347" s="684" t="str">
        <f t="shared" si="7"/>
        <v/>
      </c>
    </row>
    <row r="348" ht="12.75">
      <c r="J348" s="684" t="str">
        <f t="shared" si="7"/>
        <v/>
      </c>
    </row>
    <row r="349" ht="12.75">
      <c r="J349" s="684" t="str">
        <f t="shared" si="7"/>
        <v/>
      </c>
    </row>
    <row r="350" ht="12.75">
      <c r="J350" s="684" t="str">
        <f t="shared" si="7"/>
        <v/>
      </c>
    </row>
    <row r="351" ht="12.75">
      <c r="J351" s="684" t="str">
        <f t="shared" si="7"/>
        <v/>
      </c>
    </row>
    <row r="352" ht="12.75">
      <c r="J352" s="684" t="str">
        <f t="shared" si="7"/>
        <v/>
      </c>
    </row>
    <row r="353" ht="12.75">
      <c r="J353" s="684" t="str">
        <f t="shared" si="7"/>
        <v/>
      </c>
    </row>
    <row r="354" ht="12.75">
      <c r="J354" s="684" t="str">
        <f t="shared" si="7"/>
        <v/>
      </c>
    </row>
    <row r="355" ht="12.75">
      <c r="J355" s="684" t="str">
        <f t="shared" si="7"/>
        <v/>
      </c>
    </row>
    <row r="356" ht="12.75">
      <c r="J356" s="684" t="str">
        <f t="shared" si="7"/>
        <v/>
      </c>
    </row>
    <row r="357" ht="12.75">
      <c r="J357" s="684" t="str">
        <f t="shared" si="7"/>
        <v/>
      </c>
    </row>
    <row r="358" ht="12.75">
      <c r="J358" s="684" t="str">
        <f t="shared" si="7"/>
        <v/>
      </c>
    </row>
    <row r="359" ht="12.75">
      <c r="J359" s="684" t="str">
        <f t="shared" si="7"/>
        <v/>
      </c>
    </row>
    <row r="360" ht="12.75">
      <c r="J360" s="684" t="str">
        <f t="shared" si="7"/>
        <v/>
      </c>
    </row>
  </sheetData>
  <printOptions/>
  <pageMargins left="0.59" right="0.39" top="0.984251968503937" bottom="0.984251968503937" header="0.5118110236220472" footer="0.61"/>
  <pageSetup horizontalDpi="600" verticalDpi="600" orientation="portrait" paperSize="9" r:id="rId1"/>
  <headerFooter alignWithMargins="0">
    <oddFooter>&amp;C&amp;"Times New Roman,Obyčejné"&amp;9Stránka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3:J28"/>
  <sheetViews>
    <sheetView workbookViewId="0" topLeftCell="A1">
      <pane ySplit="8" topLeftCell="A9" activePane="bottomLeft" state="frozen"/>
      <selection pane="topLeft" activeCell="K58" sqref="K58"/>
      <selection pane="bottomLeft" activeCell="J28" sqref="J28"/>
    </sheetView>
  </sheetViews>
  <sheetFormatPr defaultColWidth="9.125" defaultRowHeight="12.75"/>
  <cols>
    <col min="1" max="1" width="17.875" style="740" customWidth="1"/>
    <col min="2" max="2" width="45.875" style="740" customWidth="1"/>
    <col min="3" max="8" width="9.125" style="740" customWidth="1"/>
    <col min="9" max="9" width="10.125" style="740" customWidth="1"/>
    <col min="10" max="10" width="10.50390625" style="740" customWidth="1"/>
    <col min="11" max="16384" width="9.125" style="740" customWidth="1"/>
  </cols>
  <sheetData>
    <row r="3" spans="1:10" ht="12.75">
      <c r="A3" s="736"/>
      <c r="B3" s="737" t="s">
        <v>1571</v>
      </c>
      <c r="C3" s="738"/>
      <c r="D3" s="739"/>
      <c r="E3" s="739"/>
      <c r="F3" s="739"/>
      <c r="G3" s="739"/>
      <c r="H3" s="739"/>
      <c r="I3" s="739"/>
      <c r="J3" s="738"/>
    </row>
    <row r="4" spans="1:10" ht="12.75">
      <c r="A4" s="736"/>
      <c r="B4" s="741" t="s">
        <v>1572</v>
      </c>
      <c r="C4" s="738"/>
      <c r="D4" s="739"/>
      <c r="E4" s="739"/>
      <c r="F4" s="739"/>
      <c r="G4" s="739"/>
      <c r="H4" s="739"/>
      <c r="I4" s="739"/>
      <c r="J4" s="738"/>
    </row>
    <row r="5" spans="1:10" ht="12.75">
      <c r="A5" s="736"/>
      <c r="B5" s="742" t="s">
        <v>1573</v>
      </c>
      <c r="C5" s="738"/>
      <c r="D5" s="739"/>
      <c r="E5" s="739"/>
      <c r="F5" s="739"/>
      <c r="G5" s="739"/>
      <c r="H5" s="739"/>
      <c r="I5" s="739"/>
      <c r="J5" s="738"/>
    </row>
    <row r="6" spans="1:10" ht="12.75">
      <c r="A6" s="736"/>
      <c r="B6" s="738" t="s">
        <v>1574</v>
      </c>
      <c r="C6" s="743" t="s">
        <v>1450</v>
      </c>
      <c r="D6" s="744"/>
      <c r="E6" s="744"/>
      <c r="F6" s="744"/>
      <c r="G6" s="744"/>
      <c r="H6" s="744"/>
      <c r="I6" s="744"/>
      <c r="J6" s="738"/>
    </row>
    <row r="7" spans="1:10" ht="14.4">
      <c r="A7" s="745" t="s">
        <v>1070</v>
      </c>
      <c r="B7" s="746" t="s">
        <v>1071</v>
      </c>
      <c r="C7" s="746" t="s">
        <v>1072</v>
      </c>
      <c r="D7" s="747" t="s">
        <v>133</v>
      </c>
      <c r="E7" s="748"/>
      <c r="F7" s="748"/>
      <c r="G7" s="746" t="s">
        <v>1575</v>
      </c>
      <c r="H7" s="1632" t="s">
        <v>1129</v>
      </c>
      <c r="I7" s="1633"/>
      <c r="J7" s="1634"/>
    </row>
    <row r="8" spans="1:10" ht="77.25" customHeight="1">
      <c r="A8" s="749"/>
      <c r="B8" s="750"/>
      <c r="C8" s="751"/>
      <c r="D8" s="752" t="s">
        <v>1576</v>
      </c>
      <c r="E8" s="752" t="s">
        <v>1577</v>
      </c>
      <c r="F8" s="752" t="s">
        <v>1578</v>
      </c>
      <c r="G8" s="752"/>
      <c r="H8" s="752" t="s">
        <v>1576</v>
      </c>
      <c r="I8" s="753" t="s">
        <v>1579</v>
      </c>
      <c r="J8" s="752" t="s">
        <v>1578</v>
      </c>
    </row>
    <row r="9" spans="1:10" ht="13.8" thickBot="1">
      <c r="A9" s="754"/>
      <c r="B9" s="755"/>
      <c r="C9" s="756"/>
      <c r="D9" s="756"/>
      <c r="E9" s="756"/>
      <c r="F9" s="756"/>
      <c r="G9" s="756"/>
      <c r="H9" s="756"/>
      <c r="I9" s="756"/>
      <c r="J9" s="757"/>
    </row>
    <row r="10" spans="1:10" ht="13.8" thickBot="1">
      <c r="A10" s="758" t="s">
        <v>433</v>
      </c>
      <c r="B10" s="758" t="s">
        <v>432</v>
      </c>
      <c r="C10" s="758" t="s">
        <v>196</v>
      </c>
      <c r="D10" s="759">
        <v>7</v>
      </c>
      <c r="E10" s="759">
        <v>-7</v>
      </c>
      <c r="F10" s="760"/>
      <c r="G10" s="761">
        <v>0</v>
      </c>
      <c r="H10" s="761">
        <f>D10*G10</f>
        <v>0</v>
      </c>
      <c r="I10" s="761">
        <f>E10*G10</f>
        <v>0</v>
      </c>
      <c r="J10" s="762"/>
    </row>
    <row r="11" spans="1:10" ht="13.8" thickBot="1">
      <c r="A11" s="763" t="s">
        <v>430</v>
      </c>
      <c r="B11" s="763" t="s">
        <v>429</v>
      </c>
      <c r="C11" s="763" t="s">
        <v>196</v>
      </c>
      <c r="D11" s="764">
        <v>7</v>
      </c>
      <c r="E11" s="764">
        <v>-7</v>
      </c>
      <c r="F11" s="760"/>
      <c r="G11" s="765">
        <v>0</v>
      </c>
      <c r="H11" s="765">
        <f>D11*G11</f>
        <v>0</v>
      </c>
      <c r="I11" s="765">
        <f>E11*G11</f>
        <v>0</v>
      </c>
      <c r="J11" s="762"/>
    </row>
    <row r="12" spans="1:10" ht="13.8" thickBot="1">
      <c r="A12" s="758" t="s">
        <v>423</v>
      </c>
      <c r="B12" s="758" t="s">
        <v>422</v>
      </c>
      <c r="C12" s="758" t="s">
        <v>196</v>
      </c>
      <c r="D12" s="759">
        <v>1</v>
      </c>
      <c r="E12" s="759">
        <v>-1</v>
      </c>
      <c r="F12" s="756"/>
      <c r="G12" s="761">
        <v>0</v>
      </c>
      <c r="H12" s="762">
        <f>D12*G12</f>
        <v>0</v>
      </c>
      <c r="I12" s="762">
        <f>E12*G12</f>
        <v>0</v>
      </c>
      <c r="J12" s="757"/>
    </row>
    <row r="13" spans="1:10" ht="13.8" thickBot="1">
      <c r="A13" s="763" t="s">
        <v>420</v>
      </c>
      <c r="B13" s="763" t="s">
        <v>419</v>
      </c>
      <c r="C13" s="763" t="s">
        <v>196</v>
      </c>
      <c r="D13" s="764">
        <v>1</v>
      </c>
      <c r="E13" s="764">
        <v>-1</v>
      </c>
      <c r="F13" s="756"/>
      <c r="G13" s="765">
        <v>0</v>
      </c>
      <c r="H13" s="766">
        <f>D13*G13</f>
        <v>0</v>
      </c>
      <c r="I13" s="766">
        <f>E13*G13</f>
        <v>0</v>
      </c>
      <c r="J13" s="757"/>
    </row>
    <row r="14" spans="1:10" ht="13.8" thickBot="1">
      <c r="A14" s="758" t="s">
        <v>418</v>
      </c>
      <c r="B14" s="758" t="s">
        <v>417</v>
      </c>
      <c r="C14" s="758" t="s">
        <v>196</v>
      </c>
      <c r="D14" s="759">
        <v>7</v>
      </c>
      <c r="E14" s="759">
        <v>-7</v>
      </c>
      <c r="F14" s="756"/>
      <c r="G14" s="761">
        <v>0</v>
      </c>
      <c r="H14" s="762">
        <f>D14*G14</f>
        <v>0</v>
      </c>
      <c r="I14" s="762">
        <f>E14*G14</f>
        <v>0</v>
      </c>
      <c r="J14" s="757"/>
    </row>
    <row r="15" spans="1:10" ht="12.75">
      <c r="A15" s="767" t="s">
        <v>416</v>
      </c>
      <c r="B15" s="767" t="s">
        <v>415</v>
      </c>
      <c r="C15" s="767" t="s">
        <v>196</v>
      </c>
      <c r="D15" s="768">
        <v>3</v>
      </c>
      <c r="E15" s="768">
        <v>-3</v>
      </c>
      <c r="F15" s="756"/>
      <c r="G15" s="769">
        <v>0</v>
      </c>
      <c r="H15" s="756"/>
      <c r="I15" s="756"/>
      <c r="J15" s="757"/>
    </row>
    <row r="16" spans="1:10" ht="12.75">
      <c r="A16" s="770" t="s">
        <v>414</v>
      </c>
      <c r="B16" s="770" t="s">
        <v>413</v>
      </c>
      <c r="C16" s="770" t="s">
        <v>196</v>
      </c>
      <c r="D16" s="771">
        <v>3</v>
      </c>
      <c r="E16" s="771">
        <v>-3</v>
      </c>
      <c r="F16" s="756"/>
      <c r="G16" s="772">
        <v>0</v>
      </c>
      <c r="H16" s="766">
        <f aca="true" t="shared" si="0" ref="H16:H21">D16*G16</f>
        <v>0</v>
      </c>
      <c r="I16" s="766">
        <f aca="true" t="shared" si="1" ref="I16:I21">E16*G16</f>
        <v>0</v>
      </c>
      <c r="J16" s="757"/>
    </row>
    <row r="17" spans="1:10" ht="13.8" thickBot="1">
      <c r="A17" s="773" t="s">
        <v>411</v>
      </c>
      <c r="B17" s="773" t="s">
        <v>410</v>
      </c>
      <c r="C17" s="773" t="s">
        <v>196</v>
      </c>
      <c r="D17" s="774">
        <v>1</v>
      </c>
      <c r="E17" s="774">
        <v>-1</v>
      </c>
      <c r="F17" s="756"/>
      <c r="G17" s="775">
        <v>0</v>
      </c>
      <c r="H17" s="766">
        <f t="shared" si="0"/>
        <v>0</v>
      </c>
      <c r="I17" s="766">
        <f t="shared" si="1"/>
        <v>0</v>
      </c>
      <c r="J17" s="757"/>
    </row>
    <row r="18" spans="1:10" ht="21.6" thickBot="1">
      <c r="A18" s="758" t="s">
        <v>404</v>
      </c>
      <c r="B18" s="758" t="s">
        <v>403</v>
      </c>
      <c r="C18" s="758" t="s">
        <v>196</v>
      </c>
      <c r="D18" s="759">
        <v>12</v>
      </c>
      <c r="E18" s="759">
        <v>2</v>
      </c>
      <c r="F18" s="756"/>
      <c r="G18" s="761">
        <v>0</v>
      </c>
      <c r="H18" s="766">
        <f t="shared" si="0"/>
        <v>0</v>
      </c>
      <c r="I18" s="766">
        <f t="shared" si="1"/>
        <v>0</v>
      </c>
      <c r="J18" s="757"/>
    </row>
    <row r="19" spans="1:10" ht="13.8" thickBot="1">
      <c r="A19" s="763" t="s">
        <v>402</v>
      </c>
      <c r="B19" s="763" t="s">
        <v>401</v>
      </c>
      <c r="C19" s="763" t="s">
        <v>196</v>
      </c>
      <c r="D19" s="764">
        <v>12</v>
      </c>
      <c r="E19" s="764">
        <v>2</v>
      </c>
      <c r="F19" s="756"/>
      <c r="G19" s="765">
        <v>0</v>
      </c>
      <c r="H19" s="766">
        <f t="shared" si="0"/>
        <v>0</v>
      </c>
      <c r="I19" s="766">
        <f t="shared" si="1"/>
        <v>0</v>
      </c>
      <c r="J19" s="757"/>
    </row>
    <row r="20" spans="1:10" ht="13.8" thickBot="1">
      <c r="A20" s="758">
        <v>210220201</v>
      </c>
      <c r="B20" s="758" t="s">
        <v>1580</v>
      </c>
      <c r="C20" s="758" t="s">
        <v>196</v>
      </c>
      <c r="D20" s="759">
        <v>460</v>
      </c>
      <c r="E20" s="759"/>
      <c r="F20" s="760">
        <v>2</v>
      </c>
      <c r="G20" s="761">
        <v>0</v>
      </c>
      <c r="H20" s="766">
        <f t="shared" si="0"/>
        <v>0</v>
      </c>
      <c r="I20" s="766">
        <f t="shared" si="1"/>
        <v>0</v>
      </c>
      <c r="J20" s="766">
        <f>F20*G20</f>
        <v>0</v>
      </c>
    </row>
    <row r="21" spans="1:10" ht="13.8" thickBot="1">
      <c r="A21" s="763">
        <v>454410650</v>
      </c>
      <c r="B21" s="763" t="s">
        <v>1581</v>
      </c>
      <c r="C21" s="763" t="s">
        <v>259</v>
      </c>
      <c r="D21" s="764">
        <v>63</v>
      </c>
      <c r="E21" s="764"/>
      <c r="F21" s="760">
        <v>2</v>
      </c>
      <c r="G21" s="765">
        <v>0</v>
      </c>
      <c r="H21" s="766">
        <f t="shared" si="0"/>
        <v>0</v>
      </c>
      <c r="I21" s="766">
        <f t="shared" si="1"/>
        <v>0</v>
      </c>
      <c r="J21" s="762">
        <f>F21*G21</f>
        <v>0</v>
      </c>
    </row>
    <row r="22" spans="1:7" ht="12.75">
      <c r="A22" s="749"/>
      <c r="B22" s="776"/>
      <c r="C22" s="776"/>
      <c r="D22" s="777"/>
      <c r="E22" s="777"/>
      <c r="F22" s="777"/>
      <c r="G22" s="777"/>
    </row>
    <row r="23" spans="2:10" ht="12.75">
      <c r="B23" s="740" t="s">
        <v>1582</v>
      </c>
      <c r="H23" s="778">
        <v>0</v>
      </c>
      <c r="I23" s="779"/>
      <c r="J23" s="778"/>
    </row>
    <row r="24" spans="2:10" ht="12.75">
      <c r="B24" s="740" t="s">
        <v>1583</v>
      </c>
      <c r="H24" s="780"/>
      <c r="I24" s="778">
        <f>SUM(I10:I21)</f>
        <v>0</v>
      </c>
      <c r="J24" s="780"/>
    </row>
    <row r="25" spans="2:10" ht="12.75">
      <c r="B25" s="740" t="s">
        <v>1584</v>
      </c>
      <c r="H25" s="780"/>
      <c r="I25" s="778"/>
      <c r="J25" s="778">
        <f>SUM(J10:J21)</f>
        <v>0</v>
      </c>
    </row>
    <row r="26" spans="8:10" ht="12.75">
      <c r="H26" s="780"/>
      <c r="I26" s="778"/>
      <c r="J26" s="778"/>
    </row>
    <row r="27" spans="2:10" ht="12.75">
      <c r="B27" s="740" t="s">
        <v>1585</v>
      </c>
      <c r="H27" s="780"/>
      <c r="I27" s="780"/>
      <c r="J27" s="781">
        <f>SUM(H23:J25)</f>
        <v>0</v>
      </c>
    </row>
    <row r="28" spans="2:10" ht="12.75">
      <c r="B28" s="740" t="s">
        <v>1504</v>
      </c>
      <c r="J28" s="780">
        <f>J27-H23</f>
        <v>0</v>
      </c>
    </row>
  </sheetData>
  <mergeCells count="1">
    <mergeCell ref="H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40"/>
  <sheetViews>
    <sheetView view="pageBreakPreview" zoomScale="60" workbookViewId="0" topLeftCell="A1">
      <selection activeCell="B28" sqref="B28"/>
    </sheetView>
  </sheetViews>
  <sheetFormatPr defaultColWidth="9.125" defaultRowHeight="12.75"/>
  <cols>
    <col min="1" max="1" width="3.625" style="595" customWidth="1"/>
    <col min="2" max="2" width="55.00390625" style="595" customWidth="1"/>
    <col min="3" max="3" width="6.875" style="595" customWidth="1"/>
    <col min="4" max="4" width="11.125" style="595" customWidth="1"/>
    <col min="5" max="5" width="9.00390625" style="782" customWidth="1"/>
    <col min="6" max="6" width="7.875" style="593" customWidth="1"/>
    <col min="7" max="7" width="5.50390625" style="594" customWidth="1"/>
    <col min="8" max="8" width="10.50390625" style="596" customWidth="1"/>
    <col min="9" max="9" width="9.875" style="597" customWidth="1"/>
    <col min="10" max="10" width="9.875" style="595" customWidth="1"/>
    <col min="11" max="11" width="12.00390625" style="595" customWidth="1"/>
    <col min="12" max="12" width="63.625" style="782" customWidth="1"/>
    <col min="13" max="13" width="7.875" style="593" customWidth="1"/>
    <col min="14" max="14" width="5.50390625" style="594" customWidth="1"/>
    <col min="15" max="15" width="9.875" style="596" customWidth="1"/>
    <col min="16" max="16" width="16.50390625" style="597" customWidth="1"/>
    <col min="17" max="17" width="14.625" style="783" bestFit="1" customWidth="1"/>
    <col min="18" max="16384" width="9.125" style="595" customWidth="1"/>
  </cols>
  <sheetData>
    <row r="1" spans="1:9" ht="12.75">
      <c r="A1" s="1629" t="s">
        <v>1586</v>
      </c>
      <c r="B1" s="1630"/>
      <c r="C1" s="1630"/>
      <c r="D1" s="1630"/>
      <c r="E1" s="1631"/>
      <c r="F1" s="582"/>
      <c r="G1" s="583"/>
      <c r="H1" s="584"/>
      <c r="I1" s="585"/>
    </row>
    <row r="2" spans="1:9" ht="12.75">
      <c r="A2" s="1629" t="s">
        <v>1587</v>
      </c>
      <c r="B2" s="1630"/>
      <c r="C2" s="1630"/>
      <c r="D2" s="1630"/>
      <c r="E2" s="1631"/>
      <c r="F2" s="582"/>
      <c r="G2" s="583"/>
      <c r="H2" s="584"/>
      <c r="I2" s="586"/>
    </row>
    <row r="3" spans="1:9" ht="12.75">
      <c r="A3" s="1629" t="s">
        <v>1588</v>
      </c>
      <c r="B3" s="1630"/>
      <c r="C3" s="1630"/>
      <c r="D3" s="1630"/>
      <c r="E3" s="1630"/>
      <c r="F3" s="582"/>
      <c r="G3" s="583"/>
      <c r="H3" s="584"/>
      <c r="I3" s="586"/>
    </row>
    <row r="4" spans="1:9" ht="12.75">
      <c r="A4" s="587" t="s">
        <v>1589</v>
      </c>
      <c r="B4" s="588"/>
      <c r="C4" s="588"/>
      <c r="D4" s="588"/>
      <c r="E4" s="588"/>
      <c r="F4" s="582"/>
      <c r="G4" s="583"/>
      <c r="H4" s="584"/>
      <c r="I4" s="586"/>
    </row>
    <row r="5" spans="1:9" ht="12.75">
      <c r="A5" s="587"/>
      <c r="B5" s="588"/>
      <c r="C5" s="588"/>
      <c r="D5" s="588"/>
      <c r="E5" s="588"/>
      <c r="F5" s="582"/>
      <c r="G5" s="583"/>
      <c r="H5" s="584"/>
      <c r="I5" s="586"/>
    </row>
    <row r="6" spans="1:9" ht="12.75">
      <c r="A6" s="587"/>
      <c r="B6" s="588"/>
      <c r="C6" s="588"/>
      <c r="D6" s="588"/>
      <c r="E6" s="588"/>
      <c r="F6" s="582"/>
      <c r="G6" s="583"/>
      <c r="H6" s="584"/>
      <c r="I6" s="586"/>
    </row>
    <row r="7" spans="1:10" ht="12.75">
      <c r="A7" s="784"/>
      <c r="B7" s="785" t="s">
        <v>1039</v>
      </c>
      <c r="C7" s="786" t="s">
        <v>1041</v>
      </c>
      <c r="D7" s="786" t="s">
        <v>1042</v>
      </c>
      <c r="E7" s="1635" t="s">
        <v>133</v>
      </c>
      <c r="F7" s="1636"/>
      <c r="G7" s="1636"/>
      <c r="H7" s="1635" t="s">
        <v>1129</v>
      </c>
      <c r="I7" s="1636"/>
      <c r="J7" s="1636"/>
    </row>
    <row r="8" spans="1:10" ht="67.2">
      <c r="A8" s="784"/>
      <c r="B8" s="785"/>
      <c r="C8" s="786"/>
      <c r="D8" s="786"/>
      <c r="E8" s="752" t="s">
        <v>1576</v>
      </c>
      <c r="F8" s="752" t="s">
        <v>1577</v>
      </c>
      <c r="G8" s="752" t="s">
        <v>1578</v>
      </c>
      <c r="H8" s="752" t="s">
        <v>1576</v>
      </c>
      <c r="I8" s="753" t="s">
        <v>1579</v>
      </c>
      <c r="J8" s="752" t="s">
        <v>1578</v>
      </c>
    </row>
    <row r="9" spans="1:10" ht="12.75">
      <c r="A9" s="604"/>
      <c r="B9" s="606"/>
      <c r="C9" s="582"/>
      <c r="D9" s="582"/>
      <c r="E9" s="788"/>
      <c r="F9" s="788"/>
      <c r="G9" s="788"/>
      <c r="H9" s="788"/>
      <c r="I9" s="789"/>
      <c r="J9" s="788"/>
    </row>
    <row r="10" spans="1:17" ht="12.75">
      <c r="A10" s="591">
        <v>1</v>
      </c>
      <c r="B10" s="592" t="s">
        <v>1044</v>
      </c>
      <c r="C10" s="594" t="s">
        <v>757</v>
      </c>
      <c r="D10" s="596"/>
      <c r="E10" s="593">
        <v>1</v>
      </c>
      <c r="F10" s="594">
        <v>0</v>
      </c>
      <c r="G10" s="594">
        <v>0</v>
      </c>
      <c r="H10" s="596">
        <f>D10*E10</f>
        <v>0</v>
      </c>
      <c r="I10" s="596">
        <f>D10*F10</f>
        <v>0</v>
      </c>
      <c r="J10" s="596">
        <f>D10*G10</f>
        <v>0</v>
      </c>
      <c r="K10" s="596"/>
      <c r="L10" s="593"/>
      <c r="M10" s="594"/>
      <c r="N10" s="596"/>
      <c r="O10" s="597"/>
      <c r="P10" s="783"/>
      <c r="Q10" s="595"/>
    </row>
    <row r="11" spans="1:17" ht="12.75">
      <c r="A11" s="591">
        <v>2</v>
      </c>
      <c r="B11" s="592" t="s">
        <v>1045</v>
      </c>
      <c r="C11" s="594" t="s">
        <v>757</v>
      </c>
      <c r="D11" s="596"/>
      <c r="E11" s="593">
        <v>1</v>
      </c>
      <c r="F11" s="594">
        <v>-1</v>
      </c>
      <c r="G11" s="594">
        <v>0</v>
      </c>
      <c r="H11" s="596">
        <f>D11*E11</f>
        <v>0</v>
      </c>
      <c r="I11" s="596">
        <f>D11*F11</f>
        <v>0</v>
      </c>
      <c r="J11" s="596">
        <f>D11*G11</f>
        <v>0</v>
      </c>
      <c r="K11" s="596"/>
      <c r="L11" s="593"/>
      <c r="M11" s="594"/>
      <c r="N11" s="596"/>
      <c r="O11" s="597"/>
      <c r="P11" s="783"/>
      <c r="Q11" s="595"/>
    </row>
    <row r="12" spans="1:17" ht="12.75">
      <c r="A12" s="591">
        <v>3</v>
      </c>
      <c r="B12" s="592" t="s">
        <v>1046</v>
      </c>
      <c r="C12" s="594" t="s">
        <v>757</v>
      </c>
      <c r="D12" s="596"/>
      <c r="E12" s="593">
        <v>100</v>
      </c>
      <c r="F12" s="594">
        <v>-25</v>
      </c>
      <c r="G12" s="594">
        <v>0</v>
      </c>
      <c r="H12" s="596">
        <f aca="true" t="shared" si="0" ref="H12:H31">D12*E12</f>
        <v>0</v>
      </c>
      <c r="I12" s="596">
        <f aca="true" t="shared" si="1" ref="I12:I31">D12*F12</f>
        <v>0</v>
      </c>
      <c r="J12" s="596">
        <f aca="true" t="shared" si="2" ref="J12:J31">D12*G12</f>
        <v>0</v>
      </c>
      <c r="K12" s="782"/>
      <c r="L12" s="593"/>
      <c r="M12" s="594"/>
      <c r="N12" s="596"/>
      <c r="O12" s="597"/>
      <c r="P12" s="783"/>
      <c r="Q12" s="595"/>
    </row>
    <row r="13" spans="1:17" ht="12.75">
      <c r="A13" s="591">
        <v>4</v>
      </c>
      <c r="B13" s="592" t="s">
        <v>1047</v>
      </c>
      <c r="C13" s="594" t="s">
        <v>757</v>
      </c>
      <c r="D13" s="596"/>
      <c r="E13" s="593">
        <v>5</v>
      </c>
      <c r="F13" s="594">
        <v>5</v>
      </c>
      <c r="G13" s="594">
        <v>0</v>
      </c>
      <c r="H13" s="596">
        <f t="shared" si="0"/>
        <v>0</v>
      </c>
      <c r="I13" s="596">
        <f t="shared" si="1"/>
        <v>0</v>
      </c>
      <c r="J13" s="596">
        <f t="shared" si="2"/>
        <v>0</v>
      </c>
      <c r="K13" s="782"/>
      <c r="L13" s="593"/>
      <c r="M13" s="594"/>
      <c r="N13" s="596"/>
      <c r="O13" s="597"/>
      <c r="P13" s="783"/>
      <c r="Q13" s="595"/>
    </row>
    <row r="14" spans="1:17" ht="12.75">
      <c r="A14" s="591">
        <v>5</v>
      </c>
      <c r="B14" s="592" t="s">
        <v>1048</v>
      </c>
      <c r="C14" s="594" t="s">
        <v>757</v>
      </c>
      <c r="D14" s="596"/>
      <c r="E14" s="593">
        <v>5</v>
      </c>
      <c r="F14" s="594">
        <v>0</v>
      </c>
      <c r="G14" s="594">
        <v>0</v>
      </c>
      <c r="H14" s="596">
        <f t="shared" si="0"/>
        <v>0</v>
      </c>
      <c r="I14" s="596">
        <f t="shared" si="1"/>
        <v>0</v>
      </c>
      <c r="J14" s="596">
        <f t="shared" si="2"/>
        <v>0</v>
      </c>
      <c r="K14" s="782"/>
      <c r="L14" s="593"/>
      <c r="M14" s="594"/>
      <c r="N14" s="596"/>
      <c r="O14" s="597"/>
      <c r="P14" s="783"/>
      <c r="Q14" s="595"/>
    </row>
    <row r="15" spans="1:17" ht="12.75">
      <c r="A15" s="591">
        <v>6</v>
      </c>
      <c r="B15" s="592" t="s">
        <v>1049</v>
      </c>
      <c r="C15" s="594" t="s">
        <v>757</v>
      </c>
      <c r="D15" s="596"/>
      <c r="E15" s="593">
        <v>5</v>
      </c>
      <c r="F15" s="594">
        <v>0</v>
      </c>
      <c r="G15" s="594">
        <v>0</v>
      </c>
      <c r="H15" s="596">
        <f t="shared" si="0"/>
        <v>0</v>
      </c>
      <c r="I15" s="596">
        <f t="shared" si="1"/>
        <v>0</v>
      </c>
      <c r="J15" s="596">
        <f t="shared" si="2"/>
        <v>0</v>
      </c>
      <c r="K15" s="782"/>
      <c r="L15" s="593"/>
      <c r="M15" s="594"/>
      <c r="N15" s="596"/>
      <c r="O15" s="597"/>
      <c r="P15" s="783"/>
      <c r="Q15" s="595"/>
    </row>
    <row r="16" spans="1:17" ht="12.75">
      <c r="A16" s="591">
        <v>7</v>
      </c>
      <c r="B16" s="592" t="s">
        <v>1050</v>
      </c>
      <c r="C16" s="594" t="s">
        <v>757</v>
      </c>
      <c r="D16" s="596"/>
      <c r="E16" s="593">
        <v>5</v>
      </c>
      <c r="F16" s="594">
        <v>0</v>
      </c>
      <c r="G16" s="594">
        <v>0</v>
      </c>
      <c r="H16" s="596">
        <f t="shared" si="0"/>
        <v>0</v>
      </c>
      <c r="I16" s="596">
        <f t="shared" si="1"/>
        <v>0</v>
      </c>
      <c r="J16" s="596">
        <f t="shared" si="2"/>
        <v>0</v>
      </c>
      <c r="K16" s="782"/>
      <c r="L16" s="593"/>
      <c r="M16" s="594"/>
      <c r="N16" s="596"/>
      <c r="O16" s="597"/>
      <c r="P16" s="783"/>
      <c r="Q16" s="595"/>
    </row>
    <row r="17" spans="1:17" ht="23.25" customHeight="1">
      <c r="A17" s="591">
        <v>8</v>
      </c>
      <c r="B17" s="592" t="s">
        <v>1051</v>
      </c>
      <c r="C17" s="594" t="s">
        <v>757</v>
      </c>
      <c r="D17" s="596"/>
      <c r="E17" s="593">
        <v>20</v>
      </c>
      <c r="F17" s="594">
        <v>0</v>
      </c>
      <c r="G17" s="594">
        <v>0</v>
      </c>
      <c r="H17" s="596">
        <f t="shared" si="0"/>
        <v>0</v>
      </c>
      <c r="I17" s="596">
        <f t="shared" si="1"/>
        <v>0</v>
      </c>
      <c r="J17" s="596">
        <f t="shared" si="2"/>
        <v>0</v>
      </c>
      <c r="K17" s="782"/>
      <c r="L17" s="593"/>
      <c r="M17" s="594"/>
      <c r="N17" s="596"/>
      <c r="O17" s="597"/>
      <c r="P17" s="783"/>
      <c r="Q17" s="595"/>
    </row>
    <row r="18" spans="1:17" ht="12.75">
      <c r="A18" s="591">
        <v>9</v>
      </c>
      <c r="B18" s="592" t="s">
        <v>1052</v>
      </c>
      <c r="C18" s="594" t="s">
        <v>757</v>
      </c>
      <c r="D18" s="596"/>
      <c r="E18" s="593">
        <v>10</v>
      </c>
      <c r="F18" s="594">
        <v>0</v>
      </c>
      <c r="G18" s="594">
        <v>0</v>
      </c>
      <c r="H18" s="596">
        <f t="shared" si="0"/>
        <v>0</v>
      </c>
      <c r="I18" s="596">
        <f t="shared" si="1"/>
        <v>0</v>
      </c>
      <c r="J18" s="596">
        <f t="shared" si="2"/>
        <v>0</v>
      </c>
      <c r="K18" s="782"/>
      <c r="L18" s="593"/>
      <c r="M18" s="594"/>
      <c r="N18" s="596"/>
      <c r="O18" s="597"/>
      <c r="P18" s="783"/>
      <c r="Q18" s="595"/>
    </row>
    <row r="19" spans="1:17" ht="12.75">
      <c r="A19" s="591">
        <v>10</v>
      </c>
      <c r="B19" s="606" t="s">
        <v>1053</v>
      </c>
      <c r="C19" s="583" t="s">
        <v>757</v>
      </c>
      <c r="D19" s="596"/>
      <c r="E19" s="582">
        <v>5</v>
      </c>
      <c r="F19" s="594">
        <v>0</v>
      </c>
      <c r="G19" s="594">
        <v>0</v>
      </c>
      <c r="H19" s="596">
        <f t="shared" si="0"/>
        <v>0</v>
      </c>
      <c r="I19" s="596">
        <f t="shared" si="1"/>
        <v>0</v>
      </c>
      <c r="J19" s="596">
        <f t="shared" si="2"/>
        <v>0</v>
      </c>
      <c r="K19" s="782"/>
      <c r="L19" s="593"/>
      <c r="M19" s="594"/>
      <c r="N19" s="596"/>
      <c r="O19" s="597"/>
      <c r="P19" s="783"/>
      <c r="Q19" s="595"/>
    </row>
    <row r="20" spans="1:17" ht="12.75">
      <c r="A20" s="591">
        <v>11</v>
      </c>
      <c r="B20" s="606" t="s">
        <v>1590</v>
      </c>
      <c r="C20" s="583" t="s">
        <v>231</v>
      </c>
      <c r="D20" s="596"/>
      <c r="E20" s="582">
        <v>25</v>
      </c>
      <c r="F20" s="594">
        <v>0</v>
      </c>
      <c r="G20" s="594">
        <v>0</v>
      </c>
      <c r="H20" s="596">
        <f t="shared" si="0"/>
        <v>0</v>
      </c>
      <c r="I20" s="596">
        <f t="shared" si="1"/>
        <v>0</v>
      </c>
      <c r="J20" s="596">
        <f t="shared" si="2"/>
        <v>0</v>
      </c>
      <c r="K20" s="782"/>
      <c r="L20" s="593"/>
      <c r="M20" s="594"/>
      <c r="N20" s="596"/>
      <c r="O20" s="597"/>
      <c r="P20" s="783"/>
      <c r="Q20" s="595"/>
    </row>
    <row r="21" spans="1:17" ht="12.75">
      <c r="A21" s="591">
        <v>12</v>
      </c>
      <c r="B21" s="606" t="s">
        <v>1055</v>
      </c>
      <c r="C21" s="583" t="s">
        <v>231</v>
      </c>
      <c r="D21" s="596"/>
      <c r="E21" s="582">
        <v>25</v>
      </c>
      <c r="F21" s="594">
        <v>0</v>
      </c>
      <c r="G21" s="594">
        <v>0</v>
      </c>
      <c r="H21" s="596">
        <f t="shared" si="0"/>
        <v>0</v>
      </c>
      <c r="I21" s="596">
        <f t="shared" si="1"/>
        <v>0</v>
      </c>
      <c r="J21" s="596">
        <f t="shared" si="2"/>
        <v>0</v>
      </c>
      <c r="K21" s="782"/>
      <c r="L21" s="593"/>
      <c r="M21" s="594"/>
      <c r="N21" s="596"/>
      <c r="O21" s="597"/>
      <c r="P21" s="783"/>
      <c r="Q21" s="595"/>
    </row>
    <row r="22" spans="1:17" ht="12.75">
      <c r="A22" s="591">
        <v>13</v>
      </c>
      <c r="B22" s="592" t="s">
        <v>1056</v>
      </c>
      <c r="C22" s="594" t="s">
        <v>231</v>
      </c>
      <c r="D22" s="596"/>
      <c r="E22" s="593">
        <v>25</v>
      </c>
      <c r="F22" s="594">
        <v>0</v>
      </c>
      <c r="G22" s="594">
        <v>0</v>
      </c>
      <c r="H22" s="596">
        <f t="shared" si="0"/>
        <v>0</v>
      </c>
      <c r="I22" s="596">
        <f t="shared" si="1"/>
        <v>0</v>
      </c>
      <c r="J22" s="596">
        <f t="shared" si="2"/>
        <v>0</v>
      </c>
      <c r="K22" s="782"/>
      <c r="L22" s="593"/>
      <c r="M22" s="594"/>
      <c r="N22" s="596"/>
      <c r="O22" s="597"/>
      <c r="P22" s="783"/>
      <c r="Q22" s="595"/>
    </row>
    <row r="23" spans="1:17" ht="23.4">
      <c r="A23" s="591">
        <v>14</v>
      </c>
      <c r="B23" s="592" t="s">
        <v>1057</v>
      </c>
      <c r="C23" s="594" t="s">
        <v>757</v>
      </c>
      <c r="D23" s="596"/>
      <c r="E23" s="607">
        <v>1</v>
      </c>
      <c r="F23" s="594">
        <v>-1</v>
      </c>
      <c r="G23" s="594">
        <v>0</v>
      </c>
      <c r="H23" s="596">
        <f t="shared" si="0"/>
        <v>0</v>
      </c>
      <c r="I23" s="596">
        <f t="shared" si="1"/>
        <v>0</v>
      </c>
      <c r="J23" s="596">
        <f t="shared" si="2"/>
        <v>0</v>
      </c>
      <c r="K23" s="782"/>
      <c r="L23" s="593"/>
      <c r="M23" s="594"/>
      <c r="N23" s="596"/>
      <c r="O23" s="597"/>
      <c r="P23" s="783"/>
      <c r="Q23" s="595"/>
    </row>
    <row r="24" spans="1:17" ht="12.75">
      <c r="A24" s="591">
        <v>15</v>
      </c>
      <c r="B24" s="592" t="s">
        <v>1591</v>
      </c>
      <c r="C24" s="594" t="s">
        <v>757</v>
      </c>
      <c r="D24" s="596"/>
      <c r="E24" s="607">
        <v>1</v>
      </c>
      <c r="F24" s="594">
        <v>0</v>
      </c>
      <c r="G24" s="594">
        <v>0</v>
      </c>
      <c r="H24" s="596">
        <f t="shared" si="0"/>
        <v>0</v>
      </c>
      <c r="I24" s="596">
        <f t="shared" si="1"/>
        <v>0</v>
      </c>
      <c r="J24" s="596">
        <f t="shared" si="2"/>
        <v>0</v>
      </c>
      <c r="K24" s="782"/>
      <c r="L24" s="593"/>
      <c r="M24" s="594"/>
      <c r="N24" s="596"/>
      <c r="O24" s="597"/>
      <c r="P24" s="783"/>
      <c r="Q24" s="595"/>
    </row>
    <row r="25" spans="1:17" ht="12.75">
      <c r="A25" s="591">
        <v>16</v>
      </c>
      <c r="B25" s="592" t="s">
        <v>1059</v>
      </c>
      <c r="C25" s="594" t="s">
        <v>757</v>
      </c>
      <c r="D25" s="596"/>
      <c r="E25" s="607">
        <v>1</v>
      </c>
      <c r="F25" s="594">
        <v>0</v>
      </c>
      <c r="G25" s="594">
        <v>0</v>
      </c>
      <c r="H25" s="596">
        <f t="shared" si="0"/>
        <v>0</v>
      </c>
      <c r="I25" s="596">
        <f t="shared" si="1"/>
        <v>0</v>
      </c>
      <c r="J25" s="596">
        <f t="shared" si="2"/>
        <v>0</v>
      </c>
      <c r="K25" s="782"/>
      <c r="L25" s="593"/>
      <c r="M25" s="594"/>
      <c r="N25" s="596"/>
      <c r="O25" s="597"/>
      <c r="P25" s="783"/>
      <c r="Q25" s="595"/>
    </row>
    <row r="26" spans="1:17" ht="12.75">
      <c r="A26" s="591">
        <v>17</v>
      </c>
      <c r="B26" s="592" t="s">
        <v>1060</v>
      </c>
      <c r="C26" s="594" t="s">
        <v>757</v>
      </c>
      <c r="D26" s="596"/>
      <c r="E26" s="607">
        <v>1</v>
      </c>
      <c r="F26" s="594">
        <v>0</v>
      </c>
      <c r="G26" s="594">
        <v>0</v>
      </c>
      <c r="H26" s="596">
        <f t="shared" si="0"/>
        <v>0</v>
      </c>
      <c r="I26" s="596">
        <f t="shared" si="1"/>
        <v>0</v>
      </c>
      <c r="J26" s="596">
        <f t="shared" si="2"/>
        <v>0</v>
      </c>
      <c r="K26" s="782"/>
      <c r="L26" s="593"/>
      <c r="M26" s="594"/>
      <c r="N26" s="596"/>
      <c r="O26" s="597"/>
      <c r="P26" s="783"/>
      <c r="Q26" s="595"/>
    </row>
    <row r="27" spans="1:17" ht="12.75">
      <c r="A27" s="591">
        <v>18</v>
      </c>
      <c r="B27" s="592" t="s">
        <v>1061</v>
      </c>
      <c r="C27" s="583" t="s">
        <v>757</v>
      </c>
      <c r="D27" s="596"/>
      <c r="E27" s="604">
        <v>1</v>
      </c>
      <c r="F27" s="594">
        <v>0</v>
      </c>
      <c r="G27" s="594">
        <v>0</v>
      </c>
      <c r="H27" s="596">
        <f t="shared" si="0"/>
        <v>0</v>
      </c>
      <c r="I27" s="596">
        <f t="shared" si="1"/>
        <v>0</v>
      </c>
      <c r="J27" s="596">
        <f t="shared" si="2"/>
        <v>0</v>
      </c>
      <c r="K27" s="782"/>
      <c r="L27" s="593"/>
      <c r="M27" s="594"/>
      <c r="N27" s="596"/>
      <c r="O27" s="597"/>
      <c r="P27" s="783"/>
      <c r="Q27" s="595"/>
    </row>
    <row r="28" spans="1:17" ht="23.4">
      <c r="A28" s="591">
        <v>19</v>
      </c>
      <c r="B28" s="606" t="s">
        <v>1592</v>
      </c>
      <c r="C28" s="583" t="s">
        <v>757</v>
      </c>
      <c r="D28" s="584"/>
      <c r="E28" s="582">
        <v>0</v>
      </c>
      <c r="F28" s="594">
        <v>0</v>
      </c>
      <c r="G28" s="594">
        <v>4</v>
      </c>
      <c r="H28" s="596">
        <f t="shared" si="0"/>
        <v>0</v>
      </c>
      <c r="I28" s="596">
        <f t="shared" si="1"/>
        <v>0</v>
      </c>
      <c r="J28" s="596">
        <f t="shared" si="2"/>
        <v>0</v>
      </c>
      <c r="K28" s="782"/>
      <c r="L28" s="593"/>
      <c r="M28" s="594"/>
      <c r="N28" s="596"/>
      <c r="O28" s="597"/>
      <c r="P28" s="783"/>
      <c r="Q28" s="595"/>
    </row>
    <row r="29" spans="1:17" ht="12.75">
      <c r="A29" s="591">
        <v>20</v>
      </c>
      <c r="B29" s="606" t="s">
        <v>1593</v>
      </c>
      <c r="C29" s="583" t="s">
        <v>757</v>
      </c>
      <c r="D29" s="584"/>
      <c r="E29" s="582">
        <v>0</v>
      </c>
      <c r="F29" s="594">
        <v>0</v>
      </c>
      <c r="G29" s="594">
        <v>1</v>
      </c>
      <c r="H29" s="596">
        <f t="shared" si="0"/>
        <v>0</v>
      </c>
      <c r="I29" s="596">
        <f t="shared" si="1"/>
        <v>0</v>
      </c>
      <c r="J29" s="596">
        <f t="shared" si="2"/>
        <v>0</v>
      </c>
      <c r="K29" s="782"/>
      <c r="L29" s="593"/>
      <c r="M29" s="594"/>
      <c r="N29" s="596"/>
      <c r="O29" s="597"/>
      <c r="P29" s="783"/>
      <c r="Q29" s="595"/>
    </row>
    <row r="30" spans="1:17" ht="12.75">
      <c r="A30" s="591">
        <v>21</v>
      </c>
      <c r="B30" s="606" t="s">
        <v>1594</v>
      </c>
      <c r="C30" s="583" t="s">
        <v>757</v>
      </c>
      <c r="D30" s="584"/>
      <c r="E30" s="582">
        <v>0</v>
      </c>
      <c r="F30" s="594">
        <v>0</v>
      </c>
      <c r="G30" s="594">
        <v>4</v>
      </c>
      <c r="H30" s="596">
        <f t="shared" si="0"/>
        <v>0</v>
      </c>
      <c r="I30" s="596">
        <f t="shared" si="1"/>
        <v>0</v>
      </c>
      <c r="J30" s="596">
        <f t="shared" si="2"/>
        <v>0</v>
      </c>
      <c r="K30" s="782"/>
      <c r="L30" s="593"/>
      <c r="M30" s="594"/>
      <c r="N30" s="596"/>
      <c r="O30" s="597"/>
      <c r="P30" s="783"/>
      <c r="Q30" s="595"/>
    </row>
    <row r="31" spans="1:17" ht="12.75">
      <c r="A31" s="591">
        <v>22</v>
      </c>
      <c r="B31" s="606" t="s">
        <v>1595</v>
      </c>
      <c r="C31" s="583" t="s">
        <v>1596</v>
      </c>
      <c r="D31" s="584"/>
      <c r="E31" s="582">
        <v>2</v>
      </c>
      <c r="F31" s="594">
        <v>0</v>
      </c>
      <c r="G31" s="594">
        <v>2</v>
      </c>
      <c r="H31" s="596">
        <f t="shared" si="0"/>
        <v>0</v>
      </c>
      <c r="I31" s="596">
        <f t="shared" si="1"/>
        <v>0</v>
      </c>
      <c r="J31" s="596">
        <f t="shared" si="2"/>
        <v>0</v>
      </c>
      <c r="K31" s="782"/>
      <c r="L31" s="593"/>
      <c r="M31" s="594"/>
      <c r="N31" s="596"/>
      <c r="O31" s="597"/>
      <c r="P31" s="783"/>
      <c r="Q31" s="595"/>
    </row>
    <row r="32" spans="1:17" ht="12.75">
      <c r="A32" s="591">
        <v>23</v>
      </c>
      <c r="B32" s="592" t="s">
        <v>1597</v>
      </c>
      <c r="C32" s="594" t="s">
        <v>757</v>
      </c>
      <c r="D32" s="596"/>
      <c r="E32" s="607">
        <v>0</v>
      </c>
      <c r="F32" s="594">
        <v>0</v>
      </c>
      <c r="G32" s="594">
        <v>1</v>
      </c>
      <c r="H32" s="596">
        <f>D32*E32</f>
        <v>0</v>
      </c>
      <c r="I32" s="596">
        <f>D32*F32</f>
        <v>0</v>
      </c>
      <c r="J32" s="596">
        <f>D32*G32</f>
        <v>0</v>
      </c>
      <c r="K32" s="782"/>
      <c r="L32" s="593"/>
      <c r="M32" s="594"/>
      <c r="N32" s="596"/>
      <c r="O32" s="597"/>
      <c r="P32" s="783"/>
      <c r="Q32" s="595"/>
    </row>
    <row r="33" spans="1:10" ht="13.8" thickBot="1">
      <c r="A33" s="790"/>
      <c r="B33" s="791"/>
      <c r="C33" s="792"/>
      <c r="D33" s="793"/>
      <c r="E33" s="792"/>
      <c r="F33" s="792"/>
      <c r="G33" s="794"/>
      <c r="H33" s="794"/>
      <c r="I33" s="793"/>
      <c r="J33" s="794"/>
    </row>
    <row r="34" spans="1:12" ht="15.6">
      <c r="A34" s="591"/>
      <c r="B34" s="592"/>
      <c r="C34" s="593"/>
      <c r="D34" s="596"/>
      <c r="E34" s="593"/>
      <c r="G34" s="595"/>
      <c r="H34" s="595"/>
      <c r="L34" s="610"/>
    </row>
    <row r="35" spans="2:10" ht="12.75">
      <c r="B35" s="795" t="s">
        <v>1582</v>
      </c>
      <c r="C35" s="796"/>
      <c r="D35" s="797"/>
      <c r="E35" s="797"/>
      <c r="F35" s="797"/>
      <c r="G35" s="797"/>
      <c r="H35" s="778">
        <f>SUM(H20:H31)</f>
        <v>0</v>
      </c>
      <c r="I35" s="779"/>
      <c r="J35" s="778"/>
    </row>
    <row r="36" spans="2:10" ht="12.75">
      <c r="B36" s="795" t="s">
        <v>1583</v>
      </c>
      <c r="C36" s="796"/>
      <c r="D36" s="797"/>
      <c r="E36" s="797"/>
      <c r="F36" s="797"/>
      <c r="G36" s="797"/>
      <c r="H36" s="798"/>
      <c r="I36" s="778">
        <f>SUM(I20:I32)</f>
        <v>0</v>
      </c>
      <c r="J36" s="798"/>
    </row>
    <row r="37" spans="2:10" ht="12.75">
      <c r="B37" s="795" t="s">
        <v>1584</v>
      </c>
      <c r="C37" s="796"/>
      <c r="D37" s="797"/>
      <c r="E37" s="797"/>
      <c r="F37" s="797"/>
      <c r="G37" s="797"/>
      <c r="H37" s="798"/>
      <c r="I37" s="778"/>
      <c r="J37" s="778">
        <f>SUM(J20:J31)</f>
        <v>0</v>
      </c>
    </row>
    <row r="38" spans="2:10" ht="12.75">
      <c r="B38" s="795" t="s">
        <v>1585</v>
      </c>
      <c r="C38" s="796"/>
      <c r="D38" s="797"/>
      <c r="E38" s="797"/>
      <c r="F38" s="797"/>
      <c r="G38" s="797"/>
      <c r="H38" s="798"/>
      <c r="I38" s="798"/>
      <c r="J38" s="778">
        <f>SUM(H35:J37)</f>
        <v>0</v>
      </c>
    </row>
    <row r="40" spans="2:10" ht="12.75">
      <c r="B40" s="799" t="s">
        <v>48</v>
      </c>
      <c r="J40" s="800">
        <f>J38-H35</f>
        <v>0</v>
      </c>
    </row>
  </sheetData>
  <mergeCells count="5">
    <mergeCell ref="A1:E1"/>
    <mergeCell ref="A2:E2"/>
    <mergeCell ref="A3:E3"/>
    <mergeCell ref="E7:G7"/>
    <mergeCell ref="H7:J7"/>
  </mergeCells>
  <printOptions/>
  <pageMargins left="0.38" right="0.4" top="0.984251969" bottom="0.984251969" header="0.4921259845" footer="0.4921259845"/>
  <pageSetup fitToHeight="0" fitToWidth="1" horizontalDpi="300" verticalDpi="300" orientation="portrait" paperSize="9" scale="77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BE83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1579" t="s">
        <v>2</v>
      </c>
      <c r="B1" s="1580"/>
      <c r="C1" s="102" t="s">
        <v>82</v>
      </c>
      <c r="D1" s="100"/>
      <c r="E1" s="101"/>
      <c r="F1" s="100"/>
      <c r="G1" s="99" t="s">
        <v>81</v>
      </c>
      <c r="H1" s="98" t="s">
        <v>80</v>
      </c>
      <c r="I1" s="97"/>
    </row>
    <row r="2" spans="1:9" ht="13.8" thickBot="1">
      <c r="A2" s="1581" t="s">
        <v>79</v>
      </c>
      <c r="B2" s="1582"/>
      <c r="C2" s="96" t="s">
        <v>78</v>
      </c>
      <c r="D2" s="94"/>
      <c r="E2" s="95"/>
      <c r="F2" s="94"/>
      <c r="G2" s="1583" t="s">
        <v>77</v>
      </c>
      <c r="H2" s="1584"/>
      <c r="I2" s="1585"/>
    </row>
    <row r="3" ht="13.8" thickTop="1">
      <c r="F3" s="74"/>
    </row>
    <row r="4" spans="1:9" ht="19.5" customHeight="1">
      <c r="A4" s="93" t="s">
        <v>76</v>
      </c>
      <c r="B4" s="72"/>
      <c r="C4" s="72"/>
      <c r="D4" s="72"/>
      <c r="E4" s="92"/>
      <c r="F4" s="72"/>
      <c r="G4" s="72"/>
      <c r="H4" s="72"/>
      <c r="I4" s="72"/>
    </row>
    <row r="5" ht="13.8" thickBot="1"/>
    <row r="6" spans="1:9" s="74" customFormat="1" ht="13.8" thickBot="1">
      <c r="A6" s="91"/>
      <c r="B6" s="90" t="s">
        <v>75</v>
      </c>
      <c r="C6" s="90"/>
      <c r="D6" s="89"/>
      <c r="E6" s="88" t="s">
        <v>74</v>
      </c>
      <c r="F6" s="87" t="s">
        <v>73</v>
      </c>
      <c r="G6" s="87" t="s">
        <v>72</v>
      </c>
      <c r="H6" s="87" t="s">
        <v>71</v>
      </c>
      <c r="I6" s="86" t="s">
        <v>70</v>
      </c>
    </row>
    <row r="7" spans="1:9" s="74" customFormat="1" ht="12.75">
      <c r="A7" s="85" t="str">
        <f>'r01P'!B7</f>
        <v>1</v>
      </c>
      <c r="B7" s="35" t="str">
        <f>'r01P'!C7</f>
        <v>Zemní práce</v>
      </c>
      <c r="D7" s="84"/>
      <c r="E7" s="83">
        <f>'r01P'!BA31</f>
        <v>0</v>
      </c>
      <c r="F7" s="82">
        <f>'r01P'!BB31</f>
        <v>0</v>
      </c>
      <c r="G7" s="82">
        <f>'r01P'!BC31</f>
        <v>0</v>
      </c>
      <c r="H7" s="82">
        <f>'r01P'!BD31</f>
        <v>0</v>
      </c>
      <c r="I7" s="81">
        <f>'r01P'!BE31</f>
        <v>0</v>
      </c>
    </row>
    <row r="8" spans="1:9" s="74" customFormat="1" ht="12.75">
      <c r="A8" s="85" t="str">
        <f>'r01P'!B32</f>
        <v>11</v>
      </c>
      <c r="B8" s="35" t="str">
        <f>'r01P'!C32</f>
        <v>Přípravné a přidružené práce</v>
      </c>
      <c r="D8" s="84"/>
      <c r="E8" s="83">
        <f>'r01P'!BA34</f>
        <v>0</v>
      </c>
      <c r="F8" s="82">
        <f>'r01P'!BB34</f>
        <v>0</v>
      </c>
      <c r="G8" s="82">
        <f>'r01P'!BC34</f>
        <v>0</v>
      </c>
      <c r="H8" s="82">
        <f>'r01P'!BD34</f>
        <v>0</v>
      </c>
      <c r="I8" s="81">
        <f>'r01P'!BE34</f>
        <v>0</v>
      </c>
    </row>
    <row r="9" spans="1:9" s="74" customFormat="1" ht="12.75">
      <c r="A9" s="85" t="str">
        <f>'r01P'!B35</f>
        <v>2</v>
      </c>
      <c r="B9" s="35" t="str">
        <f>'r01P'!C35</f>
        <v>Základy a zvláštní zakládání</v>
      </c>
      <c r="D9" s="84"/>
      <c r="E9" s="83">
        <f>'r01P'!BA38</f>
        <v>0</v>
      </c>
      <c r="F9" s="82">
        <f>'r01P'!BB38</f>
        <v>0</v>
      </c>
      <c r="G9" s="82">
        <f>'r01P'!BC38</f>
        <v>0</v>
      </c>
      <c r="H9" s="82">
        <f>'r01P'!BD38</f>
        <v>0</v>
      </c>
      <c r="I9" s="81">
        <f>'r01P'!BE38</f>
        <v>0</v>
      </c>
    </row>
    <row r="10" spans="1:9" s="74" customFormat="1" ht="12.75">
      <c r="A10" s="85" t="str">
        <f>'r01P'!B39</f>
        <v>3</v>
      </c>
      <c r="B10" s="35" t="str">
        <f>'r01P'!C39</f>
        <v>Svislé a kompletní konstrukce</v>
      </c>
      <c r="D10" s="84"/>
      <c r="E10" s="83">
        <f>'r01P'!BA50</f>
        <v>0</v>
      </c>
      <c r="F10" s="82">
        <f>'r01P'!BB50</f>
        <v>0</v>
      </c>
      <c r="G10" s="82">
        <f>'r01P'!BC50</f>
        <v>0</v>
      </c>
      <c r="H10" s="82">
        <f>'r01P'!BD50</f>
        <v>0</v>
      </c>
      <c r="I10" s="81">
        <f>'r01P'!BE50</f>
        <v>0</v>
      </c>
    </row>
    <row r="11" spans="1:9" s="74" customFormat="1" ht="12.75">
      <c r="A11" s="85" t="str">
        <f>'r01P'!B51</f>
        <v>94</v>
      </c>
      <c r="B11" s="35" t="str">
        <f>'r01P'!C51</f>
        <v>Lešení a stavební výtahy</v>
      </c>
      <c r="D11" s="84"/>
      <c r="E11" s="83">
        <f>'r01P'!BA54</f>
        <v>0</v>
      </c>
      <c r="F11" s="82">
        <f>'r01P'!BB54</f>
        <v>0</v>
      </c>
      <c r="G11" s="82">
        <f>'r01P'!BC54</f>
        <v>0</v>
      </c>
      <c r="H11" s="82">
        <f>'r01P'!BD54</f>
        <v>0</v>
      </c>
      <c r="I11" s="81">
        <f>'r01P'!BE54</f>
        <v>0</v>
      </c>
    </row>
    <row r="12" spans="1:9" s="74" customFormat="1" ht="12.75">
      <c r="A12" s="85" t="str">
        <f>'r01P'!B55</f>
        <v>95</v>
      </c>
      <c r="B12" s="35" t="str">
        <f>'r01P'!C55</f>
        <v>Dokončovací konstrukce na pozemních stavbách</v>
      </c>
      <c r="D12" s="84"/>
      <c r="E12" s="83">
        <f>'r01P'!BA57</f>
        <v>0</v>
      </c>
      <c r="F12" s="82">
        <f>'r01P'!BB57</f>
        <v>0</v>
      </c>
      <c r="G12" s="82">
        <f>'r01P'!BC57</f>
        <v>0</v>
      </c>
      <c r="H12" s="82">
        <f>'r01P'!BD57</f>
        <v>0</v>
      </c>
      <c r="I12" s="81">
        <f>'r01P'!BE57</f>
        <v>0</v>
      </c>
    </row>
    <row r="13" spans="1:9" s="74" customFormat="1" ht="12.75">
      <c r="A13" s="85" t="str">
        <f>'r01P'!B58</f>
        <v>96</v>
      </c>
      <c r="B13" s="35" t="str">
        <f>'r01P'!C58</f>
        <v>Bourání konstrukcí</v>
      </c>
      <c r="D13" s="84"/>
      <c r="E13" s="83">
        <f>'r01P'!BA73</f>
        <v>0</v>
      </c>
      <c r="F13" s="82">
        <f>'r01P'!BB73</f>
        <v>0</v>
      </c>
      <c r="G13" s="82">
        <f>'r01P'!BC73</f>
        <v>0</v>
      </c>
      <c r="H13" s="82">
        <f>'r01P'!BD73</f>
        <v>0</v>
      </c>
      <c r="I13" s="81">
        <f>'r01P'!BE73</f>
        <v>0</v>
      </c>
    </row>
    <row r="14" spans="1:9" s="74" customFormat="1" ht="12.75">
      <c r="A14" s="85" t="str">
        <f>'r01P'!B74</f>
        <v>99</v>
      </c>
      <c r="B14" s="35" t="str">
        <f>'r01P'!C74</f>
        <v>Staveništní přesun hmot</v>
      </c>
      <c r="D14" s="84"/>
      <c r="E14" s="83">
        <f>'r01P'!BA76</f>
        <v>0</v>
      </c>
      <c r="F14" s="82">
        <f>'r01P'!BB76</f>
        <v>0</v>
      </c>
      <c r="G14" s="82">
        <f>'r01P'!BC76</f>
        <v>0</v>
      </c>
      <c r="H14" s="82">
        <f>'r01P'!BD76</f>
        <v>0</v>
      </c>
      <c r="I14" s="81">
        <f>'r01P'!BE76</f>
        <v>0</v>
      </c>
    </row>
    <row r="15" spans="1:9" s="74" customFormat="1" ht="12.75">
      <c r="A15" s="85" t="str">
        <f>'r01P'!B77</f>
        <v>762</v>
      </c>
      <c r="B15" s="35" t="str">
        <f>'r01P'!C77</f>
        <v>Konstrukce tesařské</v>
      </c>
      <c r="D15" s="84"/>
      <c r="E15" s="83">
        <f>'r01P'!BA81</f>
        <v>0</v>
      </c>
      <c r="F15" s="82">
        <f>'r01P'!BB81</f>
        <v>0</v>
      </c>
      <c r="G15" s="82">
        <f>'r01P'!BC81</f>
        <v>0</v>
      </c>
      <c r="H15" s="82">
        <f>'r01P'!BD81</f>
        <v>0</v>
      </c>
      <c r="I15" s="81">
        <f>'r01P'!BE81</f>
        <v>0</v>
      </c>
    </row>
    <row r="16" spans="1:9" s="74" customFormat="1" ht="12.75">
      <c r="A16" s="85" t="str">
        <f>'r01P'!B82</f>
        <v>764</v>
      </c>
      <c r="B16" s="35" t="str">
        <f>'r01P'!C82</f>
        <v>Konstrukce klempířské</v>
      </c>
      <c r="D16" s="84"/>
      <c r="E16" s="83">
        <f>'r01P'!BA86</f>
        <v>0</v>
      </c>
      <c r="F16" s="82">
        <f>'r01P'!BB86</f>
        <v>0</v>
      </c>
      <c r="G16" s="82">
        <f>'r01P'!BC86</f>
        <v>0</v>
      </c>
      <c r="H16" s="82">
        <f>'r01P'!BD86</f>
        <v>0</v>
      </c>
      <c r="I16" s="81">
        <f>'r01P'!BE86</f>
        <v>0</v>
      </c>
    </row>
    <row r="17" spans="1:9" s="74" customFormat="1" ht="12.75">
      <c r="A17" s="85" t="str">
        <f>'r01P'!B87</f>
        <v>767</v>
      </c>
      <c r="B17" s="35" t="str">
        <f>'r01P'!C87</f>
        <v>Konstrukce zámečnické</v>
      </c>
      <c r="D17" s="84"/>
      <c r="E17" s="83">
        <f>'r01P'!BA93</f>
        <v>0</v>
      </c>
      <c r="F17" s="82">
        <f>'r01P'!BB93</f>
        <v>0</v>
      </c>
      <c r="G17" s="82">
        <f>'r01P'!BC93</f>
        <v>0</v>
      </c>
      <c r="H17" s="82">
        <f>'r01P'!BD93</f>
        <v>0</v>
      </c>
      <c r="I17" s="81">
        <f>'r01P'!BE93</f>
        <v>0</v>
      </c>
    </row>
    <row r="18" spans="1:9" s="74" customFormat="1" ht="13.8" thickBot="1">
      <c r="A18" s="85" t="str">
        <f>'r01P'!B94</f>
        <v>D96</v>
      </c>
      <c r="B18" s="35" t="str">
        <f>'r01P'!C94</f>
        <v>Přesuny suti a vybouraných hmot</v>
      </c>
      <c r="D18" s="84"/>
      <c r="E18" s="83">
        <f>'r01P'!BA100</f>
        <v>0</v>
      </c>
      <c r="F18" s="82">
        <f>'r01P'!BB100</f>
        <v>0</v>
      </c>
      <c r="G18" s="82">
        <f>'r01P'!BC100</f>
        <v>0</v>
      </c>
      <c r="H18" s="82">
        <f>'r01P'!BD100</f>
        <v>0</v>
      </c>
      <c r="I18" s="81">
        <f>'r01P'!BE100</f>
        <v>0</v>
      </c>
    </row>
    <row r="19" spans="1:9" s="12" customFormat="1" ht="13.8" thickBot="1">
      <c r="A19" s="80"/>
      <c r="B19" s="79" t="s">
        <v>69</v>
      </c>
      <c r="C19" s="79"/>
      <c r="D19" s="78"/>
      <c r="E19" s="77">
        <f>SUM(E7:E18)</f>
        <v>0</v>
      </c>
      <c r="F19" s="76">
        <f>SUM(F7:F18)</f>
        <v>0</v>
      </c>
      <c r="G19" s="76">
        <f>SUM(G7:G18)</f>
        <v>0</v>
      </c>
      <c r="H19" s="76">
        <f>SUM(H7:H18)</f>
        <v>0</v>
      </c>
      <c r="I19" s="75">
        <f>SUM(I7:I18)</f>
        <v>0</v>
      </c>
    </row>
    <row r="20" spans="1:9" ht="12.75">
      <c r="A20" s="74"/>
      <c r="B20" s="74"/>
      <c r="C20" s="74"/>
      <c r="D20" s="74"/>
      <c r="E20" s="74"/>
      <c r="F20" s="74"/>
      <c r="G20" s="74"/>
      <c r="H20" s="74"/>
      <c r="I20" s="74"/>
    </row>
    <row r="21" spans="1:57" ht="19.5" customHeight="1">
      <c r="A21" s="72" t="s">
        <v>68</v>
      </c>
      <c r="B21" s="72"/>
      <c r="C21" s="72"/>
      <c r="D21" s="72"/>
      <c r="E21" s="72"/>
      <c r="F21" s="72"/>
      <c r="G21" s="73"/>
      <c r="H21" s="72"/>
      <c r="I21" s="72"/>
      <c r="BA21" s="39"/>
      <c r="BB21" s="39"/>
      <c r="BC21" s="39"/>
      <c r="BD21" s="39"/>
      <c r="BE21" s="39"/>
    </row>
    <row r="22" ht="13.8" thickBot="1"/>
    <row r="23" spans="1:9" ht="12.75">
      <c r="A23" s="71" t="s">
        <v>67</v>
      </c>
      <c r="B23" s="70"/>
      <c r="C23" s="70"/>
      <c r="D23" s="69"/>
      <c r="E23" s="68" t="s">
        <v>65</v>
      </c>
      <c r="F23" s="67" t="s">
        <v>9</v>
      </c>
      <c r="G23" s="66" t="s">
        <v>66</v>
      </c>
      <c r="H23" s="65"/>
      <c r="I23" s="64" t="s">
        <v>65</v>
      </c>
    </row>
    <row r="24" spans="1:53" ht="12.75">
      <c r="A24" s="63" t="s">
        <v>64</v>
      </c>
      <c r="B24" s="62"/>
      <c r="C24" s="62"/>
      <c r="D24" s="61"/>
      <c r="E24" s="60">
        <v>0</v>
      </c>
      <c r="F24" s="59">
        <v>0</v>
      </c>
      <c r="G24" s="58">
        <v>0</v>
      </c>
      <c r="H24" s="57"/>
      <c r="I24" s="56">
        <f aca="true" t="shared" si="0" ref="I24:I31">E24+F24*G24/100</f>
        <v>0</v>
      </c>
      <c r="BA24" s="1">
        <v>0</v>
      </c>
    </row>
    <row r="25" spans="1:53" ht="12.75">
      <c r="A25" s="63" t="s">
        <v>63</v>
      </c>
      <c r="B25" s="62"/>
      <c r="C25" s="62"/>
      <c r="D25" s="61"/>
      <c r="E25" s="60">
        <v>0</v>
      </c>
      <c r="F25" s="59">
        <v>0</v>
      </c>
      <c r="G25" s="58">
        <v>0</v>
      </c>
      <c r="H25" s="57"/>
      <c r="I25" s="56">
        <f t="shared" si="0"/>
        <v>0</v>
      </c>
      <c r="BA25" s="1">
        <v>0</v>
      </c>
    </row>
    <row r="26" spans="1:53" ht="12.75">
      <c r="A26" s="63" t="s">
        <v>62</v>
      </c>
      <c r="B26" s="62"/>
      <c r="C26" s="62"/>
      <c r="D26" s="61"/>
      <c r="E26" s="60">
        <v>0</v>
      </c>
      <c r="F26" s="59">
        <v>0</v>
      </c>
      <c r="G26" s="58">
        <v>0</v>
      </c>
      <c r="H26" s="57"/>
      <c r="I26" s="56">
        <f t="shared" si="0"/>
        <v>0</v>
      </c>
      <c r="BA26" s="1">
        <v>0</v>
      </c>
    </row>
    <row r="27" spans="1:53" ht="12.75">
      <c r="A27" s="63" t="s">
        <v>61</v>
      </c>
      <c r="B27" s="62"/>
      <c r="C27" s="62"/>
      <c r="D27" s="61"/>
      <c r="E27" s="60">
        <v>0</v>
      </c>
      <c r="F27" s="59">
        <v>0</v>
      </c>
      <c r="G27" s="58">
        <v>0</v>
      </c>
      <c r="H27" s="57"/>
      <c r="I27" s="56">
        <f t="shared" si="0"/>
        <v>0</v>
      </c>
      <c r="BA27" s="1">
        <v>0</v>
      </c>
    </row>
    <row r="28" spans="1:53" ht="12.75">
      <c r="A28" s="63" t="s">
        <v>60</v>
      </c>
      <c r="B28" s="62"/>
      <c r="C28" s="62"/>
      <c r="D28" s="61"/>
      <c r="E28" s="60">
        <v>0</v>
      </c>
      <c r="F28" s="59">
        <v>3</v>
      </c>
      <c r="G28" s="58">
        <v>0</v>
      </c>
      <c r="H28" s="57"/>
      <c r="I28" s="56">
        <f t="shared" si="0"/>
        <v>0</v>
      </c>
      <c r="BA28" s="1">
        <v>1</v>
      </c>
    </row>
    <row r="29" spans="1:53" ht="12.75">
      <c r="A29" s="63" t="s">
        <v>59</v>
      </c>
      <c r="B29" s="62"/>
      <c r="C29" s="62"/>
      <c r="D29" s="61"/>
      <c r="E29" s="60">
        <v>0</v>
      </c>
      <c r="F29" s="59">
        <v>0</v>
      </c>
      <c r="G29" s="58">
        <v>0</v>
      </c>
      <c r="H29" s="57"/>
      <c r="I29" s="56">
        <f t="shared" si="0"/>
        <v>0</v>
      </c>
      <c r="BA29" s="1">
        <v>1</v>
      </c>
    </row>
    <row r="30" spans="1:53" ht="12.75">
      <c r="A30" s="63" t="s">
        <v>58</v>
      </c>
      <c r="B30" s="62"/>
      <c r="C30" s="62"/>
      <c r="D30" s="61"/>
      <c r="E30" s="60">
        <v>0</v>
      </c>
      <c r="F30" s="59">
        <v>1.2</v>
      </c>
      <c r="G30" s="58">
        <v>0</v>
      </c>
      <c r="H30" s="57"/>
      <c r="I30" s="56">
        <f t="shared" si="0"/>
        <v>0</v>
      </c>
      <c r="BA30" s="1">
        <v>2</v>
      </c>
    </row>
    <row r="31" spans="1:53" ht="12.75">
      <c r="A31" s="63" t="s">
        <v>41</v>
      </c>
      <c r="B31" s="62"/>
      <c r="C31" s="62"/>
      <c r="D31" s="61"/>
      <c r="E31" s="60">
        <v>0</v>
      </c>
      <c r="F31" s="59">
        <v>0</v>
      </c>
      <c r="G31" s="58">
        <v>0</v>
      </c>
      <c r="H31" s="57"/>
      <c r="I31" s="56">
        <f t="shared" si="0"/>
        <v>0</v>
      </c>
      <c r="BA31" s="1">
        <v>2</v>
      </c>
    </row>
    <row r="32" spans="1:9" ht="13.8" thickBot="1">
      <c r="A32" s="55"/>
      <c r="B32" s="54" t="s">
        <v>57</v>
      </c>
      <c r="C32" s="53"/>
      <c r="D32" s="52"/>
      <c r="E32" s="51"/>
      <c r="F32" s="50"/>
      <c r="G32" s="50"/>
      <c r="H32" s="1586">
        <f>SUM(I24:I31)</f>
        <v>0</v>
      </c>
      <c r="I32" s="1587"/>
    </row>
    <row r="34" spans="2:9" ht="12.75">
      <c r="B34" s="12"/>
      <c r="F34" s="49"/>
      <c r="G34" s="48"/>
      <c r="H34" s="48"/>
      <c r="I34" s="31"/>
    </row>
    <row r="35" spans="6:9" ht="12.75">
      <c r="F35" s="49"/>
      <c r="G35" s="48"/>
      <c r="H35" s="48"/>
      <c r="I35" s="31"/>
    </row>
    <row r="36" spans="6:9" ht="12.75">
      <c r="F36" s="49"/>
      <c r="G36" s="48"/>
      <c r="H36" s="48"/>
      <c r="I36" s="31"/>
    </row>
    <row r="37" spans="6:9" ht="12.75">
      <c r="F37" s="49"/>
      <c r="G37" s="48"/>
      <c r="H37" s="48"/>
      <c r="I37" s="31"/>
    </row>
    <row r="38" spans="6:9" ht="12.75">
      <c r="F38" s="49"/>
      <c r="G38" s="48"/>
      <c r="H38" s="48"/>
      <c r="I38" s="31"/>
    </row>
    <row r="39" spans="6:9" ht="12.75">
      <c r="F39" s="49"/>
      <c r="G39" s="48"/>
      <c r="H39" s="48"/>
      <c r="I39" s="31"/>
    </row>
    <row r="40" spans="6:9" ht="12.75">
      <c r="F40" s="49"/>
      <c r="G40" s="48"/>
      <c r="H40" s="48"/>
      <c r="I40" s="31"/>
    </row>
    <row r="41" spans="6:9" ht="12.75">
      <c r="F41" s="49"/>
      <c r="G41" s="48"/>
      <c r="H41" s="48"/>
      <c r="I41" s="31"/>
    </row>
    <row r="42" spans="6:9" ht="12.75">
      <c r="F42" s="49"/>
      <c r="G42" s="48"/>
      <c r="H42" s="48"/>
      <c r="I42" s="31"/>
    </row>
    <row r="43" spans="6:9" ht="12.75">
      <c r="F43" s="49"/>
      <c r="G43" s="48"/>
      <c r="H43" s="48"/>
      <c r="I43" s="31"/>
    </row>
    <row r="44" spans="6:9" ht="12.75">
      <c r="F44" s="49"/>
      <c r="G44" s="48"/>
      <c r="H44" s="48"/>
      <c r="I44" s="31"/>
    </row>
    <row r="45" spans="6:9" ht="12.75">
      <c r="F45" s="49"/>
      <c r="G45" s="48"/>
      <c r="H45" s="48"/>
      <c r="I45" s="31"/>
    </row>
    <row r="46" spans="6:9" ht="12.75">
      <c r="F46" s="49"/>
      <c r="G46" s="48"/>
      <c r="H46" s="48"/>
      <c r="I46" s="31"/>
    </row>
    <row r="47" spans="6:9" ht="12.75">
      <c r="F47" s="49"/>
      <c r="G47" s="48"/>
      <c r="H47" s="48"/>
      <c r="I47" s="31"/>
    </row>
    <row r="48" spans="6:9" ht="12.75">
      <c r="F48" s="49"/>
      <c r="G48" s="48"/>
      <c r="H48" s="48"/>
      <c r="I48" s="31"/>
    </row>
    <row r="49" spans="6:9" ht="12.75">
      <c r="F49" s="49"/>
      <c r="G49" s="48"/>
      <c r="H49" s="48"/>
      <c r="I49" s="31"/>
    </row>
    <row r="50" spans="6:9" ht="12.75">
      <c r="F50" s="49"/>
      <c r="G50" s="48"/>
      <c r="H50" s="48"/>
      <c r="I50" s="31"/>
    </row>
    <row r="51" spans="6:9" ht="12.75">
      <c r="F51" s="49"/>
      <c r="G51" s="48"/>
      <c r="H51" s="48"/>
      <c r="I51" s="31"/>
    </row>
    <row r="52" spans="6:9" ht="12.75">
      <c r="F52" s="49"/>
      <c r="G52" s="48"/>
      <c r="H52" s="48"/>
      <c r="I52" s="31"/>
    </row>
    <row r="53" spans="6:9" ht="12.75">
      <c r="F53" s="49"/>
      <c r="G53" s="48"/>
      <c r="H53" s="48"/>
      <c r="I53" s="31"/>
    </row>
    <row r="54" spans="6:9" ht="12.75">
      <c r="F54" s="49"/>
      <c r="G54" s="48"/>
      <c r="H54" s="48"/>
      <c r="I54" s="31"/>
    </row>
    <row r="55" spans="6:9" ht="12.75">
      <c r="F55" s="49"/>
      <c r="G55" s="48"/>
      <c r="H55" s="48"/>
      <c r="I55" s="31"/>
    </row>
    <row r="56" spans="6:9" ht="12.75">
      <c r="F56" s="49"/>
      <c r="G56" s="48"/>
      <c r="H56" s="48"/>
      <c r="I56" s="31"/>
    </row>
    <row r="57" spans="6:9" ht="12.75">
      <c r="F57" s="49"/>
      <c r="G57" s="48"/>
      <c r="H57" s="48"/>
      <c r="I57" s="31"/>
    </row>
    <row r="58" spans="6:9" ht="12.75">
      <c r="F58" s="49"/>
      <c r="G58" s="48"/>
      <c r="H58" s="48"/>
      <c r="I58" s="31"/>
    </row>
    <row r="59" spans="6:9" ht="12.75">
      <c r="F59" s="49"/>
      <c r="G59" s="48"/>
      <c r="H59" s="48"/>
      <c r="I59" s="31"/>
    </row>
    <row r="60" spans="6:9" ht="12.75">
      <c r="F60" s="49"/>
      <c r="G60" s="48"/>
      <c r="H60" s="48"/>
      <c r="I60" s="31"/>
    </row>
    <row r="61" spans="6:9" ht="12.75">
      <c r="F61" s="49"/>
      <c r="G61" s="48"/>
      <c r="H61" s="48"/>
      <c r="I61" s="31"/>
    </row>
    <row r="62" spans="6:9" ht="12.75">
      <c r="F62" s="49"/>
      <c r="G62" s="48"/>
      <c r="H62" s="48"/>
      <c r="I62" s="31"/>
    </row>
    <row r="63" spans="6:9" ht="12.75">
      <c r="F63" s="49"/>
      <c r="G63" s="48"/>
      <c r="H63" s="48"/>
      <c r="I63" s="31"/>
    </row>
    <row r="64" spans="6:9" ht="12.75">
      <c r="F64" s="49"/>
      <c r="G64" s="48"/>
      <c r="H64" s="48"/>
      <c r="I64" s="31"/>
    </row>
    <row r="65" spans="6:9" ht="12.75">
      <c r="F65" s="49"/>
      <c r="G65" s="48"/>
      <c r="H65" s="48"/>
      <c r="I65" s="31"/>
    </row>
    <row r="66" spans="6:9" ht="12.75">
      <c r="F66" s="49"/>
      <c r="G66" s="48"/>
      <c r="H66" s="48"/>
      <c r="I66" s="31"/>
    </row>
    <row r="67" spans="6:9" ht="12.75">
      <c r="F67" s="49"/>
      <c r="G67" s="48"/>
      <c r="H67" s="48"/>
      <c r="I67" s="31"/>
    </row>
    <row r="68" spans="6:9" ht="12.75">
      <c r="F68" s="49"/>
      <c r="G68" s="48"/>
      <c r="H68" s="48"/>
      <c r="I68" s="31"/>
    </row>
    <row r="69" spans="6:9" ht="12.75">
      <c r="F69" s="49"/>
      <c r="G69" s="48"/>
      <c r="H69" s="48"/>
      <c r="I69" s="31"/>
    </row>
    <row r="70" spans="6:9" ht="12.75">
      <c r="F70" s="49"/>
      <c r="G70" s="48"/>
      <c r="H70" s="48"/>
      <c r="I70" s="31"/>
    </row>
    <row r="71" spans="6:9" ht="12.75">
      <c r="F71" s="49"/>
      <c r="G71" s="48"/>
      <c r="H71" s="48"/>
      <c r="I71" s="31"/>
    </row>
    <row r="72" spans="6:9" ht="12.75">
      <c r="F72" s="49"/>
      <c r="G72" s="48"/>
      <c r="H72" s="48"/>
      <c r="I72" s="31"/>
    </row>
    <row r="73" spans="6:9" ht="12.75">
      <c r="F73" s="49"/>
      <c r="G73" s="48"/>
      <c r="H73" s="48"/>
      <c r="I73" s="31"/>
    </row>
    <row r="74" spans="6:9" ht="12.75">
      <c r="F74" s="49"/>
      <c r="G74" s="48"/>
      <c r="H74" s="48"/>
      <c r="I74" s="31"/>
    </row>
    <row r="75" spans="6:9" ht="12.75">
      <c r="F75" s="49"/>
      <c r="G75" s="48"/>
      <c r="H75" s="48"/>
      <c r="I75" s="31"/>
    </row>
    <row r="76" spans="6:9" ht="12.75">
      <c r="F76" s="49"/>
      <c r="G76" s="48"/>
      <c r="H76" s="48"/>
      <c r="I76" s="31"/>
    </row>
    <row r="77" spans="6:9" ht="12.75">
      <c r="F77" s="49"/>
      <c r="G77" s="48"/>
      <c r="H77" s="48"/>
      <c r="I77" s="31"/>
    </row>
    <row r="78" spans="6:9" ht="12.75">
      <c r="F78" s="49"/>
      <c r="G78" s="48"/>
      <c r="H78" s="48"/>
      <c r="I78" s="31"/>
    </row>
    <row r="79" spans="6:9" ht="12.75">
      <c r="F79" s="49"/>
      <c r="G79" s="48"/>
      <c r="H79" s="48"/>
      <c r="I79" s="31"/>
    </row>
    <row r="80" spans="6:9" ht="12.75">
      <c r="F80" s="49"/>
      <c r="G80" s="48"/>
      <c r="H80" s="48"/>
      <c r="I80" s="31"/>
    </row>
    <row r="81" spans="6:9" ht="12.75">
      <c r="F81" s="49"/>
      <c r="G81" s="48"/>
      <c r="H81" s="48"/>
      <c r="I81" s="31"/>
    </row>
    <row r="82" spans="6:9" ht="12.75">
      <c r="F82" s="49"/>
      <c r="G82" s="48"/>
      <c r="H82" s="48"/>
      <c r="I82" s="31"/>
    </row>
    <row r="83" spans="6:9" ht="12.75">
      <c r="F83" s="49"/>
      <c r="G83" s="48"/>
      <c r="H83" s="48"/>
      <c r="I83" s="31"/>
    </row>
  </sheetData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BE51"/>
  <sheetViews>
    <sheetView workbookViewId="0" topLeftCell="A1">
      <selection activeCell="C23" sqref="C23"/>
    </sheetView>
  </sheetViews>
  <sheetFormatPr defaultColWidth="9.125" defaultRowHeight="12.75"/>
  <cols>
    <col min="1" max="1" width="2.00390625" style="288" customWidth="1"/>
    <col min="2" max="2" width="15.00390625" style="288" customWidth="1"/>
    <col min="3" max="3" width="15.875" style="288" customWidth="1"/>
    <col min="4" max="4" width="14.50390625" style="288" customWidth="1"/>
    <col min="5" max="5" width="13.50390625" style="288" customWidth="1"/>
    <col min="6" max="6" width="16.50390625" style="288" customWidth="1"/>
    <col min="7" max="7" width="15.375" style="288" customWidth="1"/>
    <col min="8" max="16384" width="9.125" style="288" customWidth="1"/>
  </cols>
  <sheetData>
    <row r="1" spans="1:7" ht="24.75" customHeight="1" thickBot="1">
      <c r="A1" s="286" t="s">
        <v>126</v>
      </c>
      <c r="B1" s="287"/>
      <c r="C1" s="287"/>
      <c r="D1" s="287"/>
      <c r="E1" s="287"/>
      <c r="F1" s="287"/>
      <c r="G1" s="287"/>
    </row>
    <row r="2" spans="1:7" ht="12.75" customHeight="1">
      <c r="A2" s="289" t="s">
        <v>125</v>
      </c>
      <c r="B2" s="290"/>
      <c r="C2" s="291" t="s">
        <v>80</v>
      </c>
      <c r="D2" s="291" t="s">
        <v>77</v>
      </c>
      <c r="E2" s="292"/>
      <c r="F2" s="293" t="s">
        <v>124</v>
      </c>
      <c r="G2" s="294"/>
    </row>
    <row r="3" spans="1:7" ht="3" customHeight="1" hidden="1">
      <c r="A3" s="295"/>
      <c r="B3" s="296"/>
      <c r="C3" s="297"/>
      <c r="D3" s="297"/>
      <c r="E3" s="298"/>
      <c r="F3" s="299"/>
      <c r="G3" s="300"/>
    </row>
    <row r="4" spans="1:7" ht="12" customHeight="1">
      <c r="A4" s="301" t="s">
        <v>123</v>
      </c>
      <c r="B4" s="296"/>
      <c r="C4" s="297"/>
      <c r="D4" s="297"/>
      <c r="E4" s="298"/>
      <c r="F4" s="299" t="s">
        <v>122</v>
      </c>
      <c r="G4" s="302"/>
    </row>
    <row r="5" spans="1:7" ht="12.9" customHeight="1">
      <c r="A5" s="303" t="s">
        <v>28</v>
      </c>
      <c r="B5" s="304"/>
      <c r="C5" s="305" t="s">
        <v>21</v>
      </c>
      <c r="D5" s="306"/>
      <c r="E5" s="304"/>
      <c r="F5" s="299" t="s">
        <v>121</v>
      </c>
      <c r="G5" s="300"/>
    </row>
    <row r="6" spans="1:15" ht="12.9" customHeight="1">
      <c r="A6" s="301" t="s">
        <v>120</v>
      </c>
      <c r="B6" s="296"/>
      <c r="C6" s="297"/>
      <c r="D6" s="297"/>
      <c r="E6" s="298"/>
      <c r="F6" s="307" t="s">
        <v>119</v>
      </c>
      <c r="G6" s="308">
        <v>0</v>
      </c>
      <c r="O6" s="309"/>
    </row>
    <row r="7" spans="1:7" ht="12.9" customHeight="1">
      <c r="A7" s="310" t="s">
        <v>12</v>
      </c>
      <c r="B7" s="311"/>
      <c r="C7" s="312" t="s">
        <v>13</v>
      </c>
      <c r="D7" s="313"/>
      <c r="E7" s="313"/>
      <c r="F7" s="314" t="s">
        <v>118</v>
      </c>
      <c r="G7" s="308">
        <f>IF(G6=0,,ROUND((F30+F32)/G6,1))</f>
        <v>0</v>
      </c>
    </row>
    <row r="8" spans="1:9" ht="12.75">
      <c r="A8" s="315" t="s">
        <v>117</v>
      </c>
      <c r="B8" s="299"/>
      <c r="C8" s="1603"/>
      <c r="D8" s="1603"/>
      <c r="E8" s="1604"/>
      <c r="F8" s="316" t="s">
        <v>116</v>
      </c>
      <c r="G8" s="317"/>
      <c r="H8" s="318"/>
      <c r="I8" s="319"/>
    </row>
    <row r="9" spans="1:8" ht="12.75">
      <c r="A9" s="315" t="s">
        <v>115</v>
      </c>
      <c r="B9" s="299"/>
      <c r="C9" s="1603"/>
      <c r="D9" s="1603"/>
      <c r="E9" s="1604"/>
      <c r="F9" s="299"/>
      <c r="G9" s="320"/>
      <c r="H9" s="321"/>
    </row>
    <row r="10" spans="1:8" ht="12.75">
      <c r="A10" s="315" t="s">
        <v>114</v>
      </c>
      <c r="B10" s="299"/>
      <c r="C10" s="1603"/>
      <c r="D10" s="1603"/>
      <c r="E10" s="1603"/>
      <c r="F10" s="322"/>
      <c r="G10" s="323"/>
      <c r="H10" s="324"/>
    </row>
    <row r="11" spans="1:57" ht="13.5" customHeight="1">
      <c r="A11" s="315" t="s">
        <v>113</v>
      </c>
      <c r="B11" s="299"/>
      <c r="C11" s="1603"/>
      <c r="D11" s="1603"/>
      <c r="E11" s="1603"/>
      <c r="F11" s="325" t="s">
        <v>112</v>
      </c>
      <c r="G11" s="326"/>
      <c r="H11" s="321"/>
      <c r="BA11" s="327"/>
      <c r="BB11" s="327"/>
      <c r="BC11" s="327"/>
      <c r="BD11" s="327"/>
      <c r="BE11" s="327"/>
    </row>
    <row r="12" spans="1:8" ht="12.75" customHeight="1">
      <c r="A12" s="328" t="s">
        <v>111</v>
      </c>
      <c r="B12" s="296"/>
      <c r="C12" s="1605"/>
      <c r="D12" s="1605"/>
      <c r="E12" s="1605"/>
      <c r="F12" s="329" t="s">
        <v>110</v>
      </c>
      <c r="G12" s="330"/>
      <c r="H12" s="321"/>
    </row>
    <row r="13" spans="1:8" ht="28.5" customHeight="1" thickBot="1">
      <c r="A13" s="331" t="s">
        <v>109</v>
      </c>
      <c r="B13" s="332"/>
      <c r="C13" s="332"/>
      <c r="D13" s="332"/>
      <c r="E13" s="333"/>
      <c r="F13" s="333"/>
      <c r="G13" s="334"/>
      <c r="H13" s="321"/>
    </row>
    <row r="14" spans="1:7" ht="17.25" customHeight="1" thickBot="1">
      <c r="A14" s="335" t="s">
        <v>108</v>
      </c>
      <c r="B14" s="336"/>
      <c r="C14" s="337"/>
      <c r="D14" s="338" t="s">
        <v>107</v>
      </c>
      <c r="E14" s="339"/>
      <c r="F14" s="339"/>
      <c r="G14" s="337"/>
    </row>
    <row r="15" spans="1:7" ht="15.9" customHeight="1">
      <c r="A15" s="340"/>
      <c r="B15" s="341" t="s">
        <v>106</v>
      </c>
      <c r="C15" s="342">
        <f>'r05R'!E11</f>
        <v>0</v>
      </c>
      <c r="D15" s="343" t="str">
        <f>'r05R'!A16</f>
        <v>Ztížené výrobní podmínky</v>
      </c>
      <c r="E15" s="344"/>
      <c r="F15" s="345"/>
      <c r="G15" s="342">
        <f>'r05R'!I16</f>
        <v>0</v>
      </c>
    </row>
    <row r="16" spans="1:7" ht="15.9" customHeight="1">
      <c r="A16" s="340" t="s">
        <v>105</v>
      </c>
      <c r="B16" s="341" t="s">
        <v>104</v>
      </c>
      <c r="C16" s="342">
        <f>'r05R'!F11</f>
        <v>0</v>
      </c>
      <c r="D16" s="295" t="str">
        <f>'r05R'!A17</f>
        <v>Oborová přirážka</v>
      </c>
      <c r="E16" s="346"/>
      <c r="F16" s="347"/>
      <c r="G16" s="342">
        <f>'r05R'!I17</f>
        <v>0</v>
      </c>
    </row>
    <row r="17" spans="1:7" ht="15.9" customHeight="1">
      <c r="A17" s="340" t="s">
        <v>103</v>
      </c>
      <c r="B17" s="341" t="s">
        <v>102</v>
      </c>
      <c r="C17" s="342">
        <f>'r05R'!H11</f>
        <v>0</v>
      </c>
      <c r="D17" s="295" t="str">
        <f>'r05R'!A18</f>
        <v>Přesun stavebních kapacit</v>
      </c>
      <c r="E17" s="346"/>
      <c r="F17" s="347"/>
      <c r="G17" s="342">
        <f>'r05R'!I18</f>
        <v>0</v>
      </c>
    </row>
    <row r="18" spans="1:7" ht="15.9" customHeight="1">
      <c r="A18" s="348" t="s">
        <v>101</v>
      </c>
      <c r="B18" s="349" t="s">
        <v>100</v>
      </c>
      <c r="C18" s="342">
        <f>'r05R'!G11</f>
        <v>0</v>
      </c>
      <c r="D18" s="295" t="str">
        <f>'r05R'!A19</f>
        <v>Mimostaveništní doprava</v>
      </c>
      <c r="E18" s="346"/>
      <c r="F18" s="347"/>
      <c r="G18" s="342">
        <f>'r05R'!I19</f>
        <v>0</v>
      </c>
    </row>
    <row r="19" spans="1:7" ht="15.9" customHeight="1">
      <c r="A19" s="350" t="s">
        <v>99</v>
      </c>
      <c r="B19" s="341"/>
      <c r="C19" s="342">
        <f>SUM(C15:C18)</f>
        <v>0</v>
      </c>
      <c r="D19" s="295" t="str">
        <f>'r05R'!A20</f>
        <v>Zařízení staveniště</v>
      </c>
      <c r="E19" s="346"/>
      <c r="F19" s="347"/>
      <c r="G19" s="342">
        <f>'r05R'!I20</f>
        <v>0</v>
      </c>
    </row>
    <row r="20" spans="1:7" ht="15.9" customHeight="1">
      <c r="A20" s="350"/>
      <c r="B20" s="341"/>
      <c r="C20" s="342"/>
      <c r="D20" s="295" t="str">
        <f>'r05R'!A21</f>
        <v>Provoz investora</v>
      </c>
      <c r="E20" s="346"/>
      <c r="F20" s="347"/>
      <c r="G20" s="342">
        <f>'r05R'!I21</f>
        <v>0</v>
      </c>
    </row>
    <row r="21" spans="1:7" ht="15.9" customHeight="1">
      <c r="A21" s="350" t="s">
        <v>70</v>
      </c>
      <c r="B21" s="341"/>
      <c r="C21" s="342">
        <f>'r05R'!I11</f>
        <v>0</v>
      </c>
      <c r="D21" s="295" t="str">
        <f>'r05R'!A22</f>
        <v>Kompletační činnost (IČD)</v>
      </c>
      <c r="E21" s="346"/>
      <c r="F21" s="347"/>
      <c r="G21" s="342">
        <f>'r05R'!I22</f>
        <v>0</v>
      </c>
    </row>
    <row r="22" spans="1:7" ht="15.9" customHeight="1">
      <c r="A22" s="351" t="s">
        <v>98</v>
      </c>
      <c r="B22" s="321"/>
      <c r="C22" s="342">
        <f>C19+C21</f>
        <v>0</v>
      </c>
      <c r="D22" s="295" t="s">
        <v>97</v>
      </c>
      <c r="E22" s="346"/>
      <c r="F22" s="347"/>
      <c r="G22" s="342">
        <f>G23-SUM(G15:G21)</f>
        <v>0</v>
      </c>
    </row>
    <row r="23" spans="1:7" ht="15.9" customHeight="1" thickBot="1">
      <c r="A23" s="1601" t="s">
        <v>96</v>
      </c>
      <c r="B23" s="1602"/>
      <c r="C23" s="352">
        <f>C22+G23</f>
        <v>0</v>
      </c>
      <c r="D23" s="353" t="s">
        <v>95</v>
      </c>
      <c r="E23" s="354"/>
      <c r="F23" s="355"/>
      <c r="G23" s="342">
        <f>'r05R'!H24</f>
        <v>0</v>
      </c>
    </row>
    <row r="24" spans="1:7" ht="12.75">
      <c r="A24" s="356" t="s">
        <v>94</v>
      </c>
      <c r="B24" s="357"/>
      <c r="C24" s="358"/>
      <c r="D24" s="357" t="s">
        <v>93</v>
      </c>
      <c r="E24" s="357"/>
      <c r="F24" s="359" t="s">
        <v>92</v>
      </c>
      <c r="G24" s="360"/>
    </row>
    <row r="25" spans="1:7" ht="12.75">
      <c r="A25" s="351" t="s">
        <v>91</v>
      </c>
      <c r="B25" s="321"/>
      <c r="C25" s="361"/>
      <c r="D25" s="321" t="s">
        <v>91</v>
      </c>
      <c r="F25" s="362" t="s">
        <v>91</v>
      </c>
      <c r="G25" s="363"/>
    </row>
    <row r="26" spans="1:7" ht="37.5" customHeight="1">
      <c r="A26" s="351" t="s">
        <v>90</v>
      </c>
      <c r="B26" s="364"/>
      <c r="C26" s="361"/>
      <c r="D26" s="321" t="s">
        <v>90</v>
      </c>
      <c r="F26" s="362" t="s">
        <v>90</v>
      </c>
      <c r="G26" s="363"/>
    </row>
    <row r="27" spans="1:7" ht="12.75">
      <c r="A27" s="351"/>
      <c r="B27" s="365"/>
      <c r="C27" s="361"/>
      <c r="D27" s="321"/>
      <c r="F27" s="362"/>
      <c r="G27" s="363"/>
    </row>
    <row r="28" spans="1:7" ht="12.75">
      <c r="A28" s="351" t="s">
        <v>89</v>
      </c>
      <c r="B28" s="321"/>
      <c r="C28" s="361"/>
      <c r="D28" s="362" t="s">
        <v>88</v>
      </c>
      <c r="E28" s="361"/>
      <c r="F28" s="366" t="s">
        <v>88</v>
      </c>
      <c r="G28" s="363"/>
    </row>
    <row r="29" spans="1:7" ht="69" customHeight="1">
      <c r="A29" s="351"/>
      <c r="B29" s="321"/>
      <c r="C29" s="367"/>
      <c r="D29" s="368"/>
      <c r="E29" s="367"/>
      <c r="F29" s="321"/>
      <c r="G29" s="363"/>
    </row>
    <row r="30" spans="1:7" ht="12.75">
      <c r="A30" s="369" t="s">
        <v>8</v>
      </c>
      <c r="B30" s="370"/>
      <c r="C30" s="371">
        <v>21</v>
      </c>
      <c r="D30" s="370" t="s">
        <v>87</v>
      </c>
      <c r="E30" s="372"/>
      <c r="F30" s="1607">
        <f>C23-F32</f>
        <v>0</v>
      </c>
      <c r="G30" s="1608"/>
    </row>
    <row r="31" spans="1:7" ht="12.75">
      <c r="A31" s="369" t="s">
        <v>86</v>
      </c>
      <c r="B31" s="370"/>
      <c r="C31" s="371">
        <f>C30</f>
        <v>21</v>
      </c>
      <c r="D31" s="370" t="s">
        <v>85</v>
      </c>
      <c r="E31" s="372"/>
      <c r="F31" s="1607">
        <f>ROUND(PRODUCT(F30,C31/100),0)</f>
        <v>0</v>
      </c>
      <c r="G31" s="1608"/>
    </row>
    <row r="32" spans="1:7" ht="12.75">
      <c r="A32" s="369" t="s">
        <v>8</v>
      </c>
      <c r="B32" s="370"/>
      <c r="C32" s="371">
        <v>0</v>
      </c>
      <c r="D32" s="370" t="s">
        <v>85</v>
      </c>
      <c r="E32" s="372"/>
      <c r="F32" s="1607">
        <v>0</v>
      </c>
      <c r="G32" s="1608"/>
    </row>
    <row r="33" spans="1:7" ht="12.75">
      <c r="A33" s="369" t="s">
        <v>86</v>
      </c>
      <c r="B33" s="373"/>
      <c r="C33" s="374">
        <f>C32</f>
        <v>0</v>
      </c>
      <c r="D33" s="370" t="s">
        <v>85</v>
      </c>
      <c r="E33" s="347"/>
      <c r="F33" s="1607">
        <f>ROUND(PRODUCT(F32,C33/100),0)</f>
        <v>0</v>
      </c>
      <c r="G33" s="1608"/>
    </row>
    <row r="34" spans="1:7" s="378" customFormat="1" ht="19.5" customHeight="1" thickBot="1">
      <c r="A34" s="375" t="s">
        <v>84</v>
      </c>
      <c r="B34" s="376"/>
      <c r="C34" s="376"/>
      <c r="D34" s="376"/>
      <c r="E34" s="377"/>
      <c r="F34" s="1609">
        <f>ROUND(SUM(F30:F33),0)</f>
        <v>0</v>
      </c>
      <c r="G34" s="1610"/>
    </row>
    <row r="36" spans="1:8" ht="12.75">
      <c r="A36" s="379" t="s">
        <v>83</v>
      </c>
      <c r="B36" s="379"/>
      <c r="C36" s="379"/>
      <c r="D36" s="379"/>
      <c r="E36" s="379"/>
      <c r="F36" s="379"/>
      <c r="G36" s="379"/>
      <c r="H36" s="288" t="s">
        <v>1</v>
      </c>
    </row>
    <row r="37" spans="1:8" ht="14.25" customHeight="1">
      <c r="A37" s="379"/>
      <c r="B37" s="1611"/>
      <c r="C37" s="1611"/>
      <c r="D37" s="1611"/>
      <c r="E37" s="1611"/>
      <c r="F37" s="1611"/>
      <c r="G37" s="1611"/>
      <c r="H37" s="288" t="s">
        <v>1</v>
      </c>
    </row>
    <row r="38" spans="1:8" ht="12.75" customHeight="1">
      <c r="A38" s="380"/>
      <c r="B38" s="1611"/>
      <c r="C38" s="1611"/>
      <c r="D38" s="1611"/>
      <c r="E38" s="1611"/>
      <c r="F38" s="1611"/>
      <c r="G38" s="1611"/>
      <c r="H38" s="288" t="s">
        <v>1</v>
      </c>
    </row>
    <row r="39" spans="1:8" ht="12.75">
      <c r="A39" s="380"/>
      <c r="B39" s="1611"/>
      <c r="C39" s="1611"/>
      <c r="D39" s="1611"/>
      <c r="E39" s="1611"/>
      <c r="F39" s="1611"/>
      <c r="G39" s="1611"/>
      <c r="H39" s="288" t="s">
        <v>1</v>
      </c>
    </row>
    <row r="40" spans="1:8" ht="12.75">
      <c r="A40" s="380"/>
      <c r="B40" s="1611"/>
      <c r="C40" s="1611"/>
      <c r="D40" s="1611"/>
      <c r="E40" s="1611"/>
      <c r="F40" s="1611"/>
      <c r="G40" s="1611"/>
      <c r="H40" s="288" t="s">
        <v>1</v>
      </c>
    </row>
    <row r="41" spans="1:8" ht="12.75">
      <c r="A41" s="380"/>
      <c r="B41" s="1611"/>
      <c r="C41" s="1611"/>
      <c r="D41" s="1611"/>
      <c r="E41" s="1611"/>
      <c r="F41" s="1611"/>
      <c r="G41" s="1611"/>
      <c r="H41" s="288" t="s">
        <v>1</v>
      </c>
    </row>
    <row r="42" spans="1:8" ht="12.75">
      <c r="A42" s="380"/>
      <c r="B42" s="1611"/>
      <c r="C42" s="1611"/>
      <c r="D42" s="1611"/>
      <c r="E42" s="1611"/>
      <c r="F42" s="1611"/>
      <c r="G42" s="1611"/>
      <c r="H42" s="288" t="s">
        <v>1</v>
      </c>
    </row>
    <row r="43" spans="1:8" ht="12.75">
      <c r="A43" s="380"/>
      <c r="B43" s="1611"/>
      <c r="C43" s="1611"/>
      <c r="D43" s="1611"/>
      <c r="E43" s="1611"/>
      <c r="F43" s="1611"/>
      <c r="G43" s="1611"/>
      <c r="H43" s="288" t="s">
        <v>1</v>
      </c>
    </row>
    <row r="44" spans="1:8" ht="12.75" customHeight="1">
      <c r="A44" s="380"/>
      <c r="B44" s="1611"/>
      <c r="C44" s="1611"/>
      <c r="D44" s="1611"/>
      <c r="E44" s="1611"/>
      <c r="F44" s="1611"/>
      <c r="G44" s="1611"/>
      <c r="H44" s="288" t="s">
        <v>1</v>
      </c>
    </row>
    <row r="45" spans="1:8" ht="12.75" customHeight="1">
      <c r="A45" s="380"/>
      <c r="B45" s="1611"/>
      <c r="C45" s="1611"/>
      <c r="D45" s="1611"/>
      <c r="E45" s="1611"/>
      <c r="F45" s="1611"/>
      <c r="G45" s="1611"/>
      <c r="H45" s="288" t="s">
        <v>1</v>
      </c>
    </row>
    <row r="46" spans="2:7" ht="12.75">
      <c r="B46" s="1606"/>
      <c r="C46" s="1606"/>
      <c r="D46" s="1606"/>
      <c r="E46" s="1606"/>
      <c r="F46" s="1606"/>
      <c r="G46" s="1606"/>
    </row>
    <row r="47" spans="2:7" ht="12.75">
      <c r="B47" s="1606"/>
      <c r="C47" s="1606"/>
      <c r="D47" s="1606"/>
      <c r="E47" s="1606"/>
      <c r="F47" s="1606"/>
      <c r="G47" s="1606"/>
    </row>
    <row r="48" spans="2:7" ht="12.75">
      <c r="B48" s="1606"/>
      <c r="C48" s="1606"/>
      <c r="D48" s="1606"/>
      <c r="E48" s="1606"/>
      <c r="F48" s="1606"/>
      <c r="G48" s="1606"/>
    </row>
    <row r="49" spans="2:7" ht="12.75">
      <c r="B49" s="1606"/>
      <c r="C49" s="1606"/>
      <c r="D49" s="1606"/>
      <c r="E49" s="1606"/>
      <c r="F49" s="1606"/>
      <c r="G49" s="1606"/>
    </row>
    <row r="50" spans="2:7" ht="12.75">
      <c r="B50" s="1606"/>
      <c r="C50" s="1606"/>
      <c r="D50" s="1606"/>
      <c r="E50" s="1606"/>
      <c r="F50" s="1606"/>
      <c r="G50" s="1606"/>
    </row>
    <row r="51" spans="2:7" ht="12.75">
      <c r="B51" s="1606"/>
      <c r="C51" s="1606"/>
      <c r="D51" s="1606"/>
      <c r="E51" s="1606"/>
      <c r="F51" s="1606"/>
      <c r="G51" s="1606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BE75"/>
  <sheetViews>
    <sheetView workbookViewId="0" topLeftCell="A1">
      <selection activeCell="G22" sqref="G22"/>
    </sheetView>
  </sheetViews>
  <sheetFormatPr defaultColWidth="9.125" defaultRowHeight="12.75"/>
  <cols>
    <col min="1" max="1" width="5.875" style="288" customWidth="1"/>
    <col min="2" max="2" width="6.125" style="288" customWidth="1"/>
    <col min="3" max="3" width="11.50390625" style="288" customWidth="1"/>
    <col min="4" max="4" width="15.875" style="288" customWidth="1"/>
    <col min="5" max="5" width="11.375" style="288" customWidth="1"/>
    <col min="6" max="6" width="10.875" style="288" customWidth="1"/>
    <col min="7" max="7" width="11.00390625" style="288" customWidth="1"/>
    <col min="8" max="8" width="11.125" style="288" customWidth="1"/>
    <col min="9" max="9" width="10.625" style="288" customWidth="1"/>
    <col min="10" max="16384" width="9.125" style="288" customWidth="1"/>
  </cols>
  <sheetData>
    <row r="1" spans="1:9" ht="13.8" thickTop="1">
      <c r="A1" s="1612" t="s">
        <v>2</v>
      </c>
      <c r="B1" s="1613"/>
      <c r="C1" s="433" t="s">
        <v>82</v>
      </c>
      <c r="D1" s="431"/>
      <c r="E1" s="432"/>
      <c r="F1" s="431"/>
      <c r="G1" s="430" t="s">
        <v>81</v>
      </c>
      <c r="H1" s="429" t="s">
        <v>80</v>
      </c>
      <c r="I1" s="428"/>
    </row>
    <row r="2" spans="1:9" ht="13.8" thickBot="1">
      <c r="A2" s="1614" t="s">
        <v>79</v>
      </c>
      <c r="B2" s="1615"/>
      <c r="C2" s="427" t="s">
        <v>1620</v>
      </c>
      <c r="D2" s="425"/>
      <c r="E2" s="426"/>
      <c r="F2" s="425"/>
      <c r="G2" s="1616" t="s">
        <v>77</v>
      </c>
      <c r="H2" s="1617"/>
      <c r="I2" s="1618"/>
    </row>
    <row r="3" ht="13.8" thickTop="1">
      <c r="F3" s="321"/>
    </row>
    <row r="4" spans="1:9" ht="19.5" customHeight="1">
      <c r="A4" s="424" t="s">
        <v>76</v>
      </c>
      <c r="B4" s="403"/>
      <c r="C4" s="403"/>
      <c r="D4" s="403"/>
      <c r="E4" s="423"/>
      <c r="F4" s="403"/>
      <c r="G4" s="403"/>
      <c r="H4" s="403"/>
      <c r="I4" s="403"/>
    </row>
    <row r="5" ht="13.8" thickBot="1"/>
    <row r="6" spans="1:9" s="321" customFormat="1" ht="13.8" thickBot="1">
      <c r="A6" s="422"/>
      <c r="B6" s="421" t="s">
        <v>75</v>
      </c>
      <c r="C6" s="421"/>
      <c r="D6" s="420"/>
      <c r="E6" s="419" t="s">
        <v>74</v>
      </c>
      <c r="F6" s="418" t="s">
        <v>73</v>
      </c>
      <c r="G6" s="418" t="s">
        <v>72</v>
      </c>
      <c r="H6" s="418" t="s">
        <v>71</v>
      </c>
      <c r="I6" s="417" t="s">
        <v>70</v>
      </c>
    </row>
    <row r="7" spans="1:9" s="321" customFormat="1" ht="12.75">
      <c r="A7" s="416" t="str">
        <f>'r05P'!B7</f>
        <v>1</v>
      </c>
      <c r="B7" s="415" t="str">
        <f>'r05P'!C7</f>
        <v>Zemní práce</v>
      </c>
      <c r="D7" s="414"/>
      <c r="E7" s="413">
        <f>'r05P'!BA15</f>
        <v>0</v>
      </c>
      <c r="F7" s="412">
        <f>'r05P'!BB15</f>
        <v>0</v>
      </c>
      <c r="G7" s="412">
        <f>'r05P'!BC15</f>
        <v>0</v>
      </c>
      <c r="H7" s="412">
        <f>'r05P'!BD15</f>
        <v>0</v>
      </c>
      <c r="I7" s="411">
        <f>'r05P'!BE15</f>
        <v>0</v>
      </c>
    </row>
    <row r="8" spans="1:9" s="74" customFormat="1" ht="12.75">
      <c r="A8" s="85" t="str">
        <f>'r05P'!B16</f>
        <v>2</v>
      </c>
      <c r="B8" s="35" t="str">
        <f>'r05P'!C16</f>
        <v>Základy a zvláštní zakládání</v>
      </c>
      <c r="D8" s="84"/>
      <c r="E8" s="83">
        <f>'r05P'!BA20</f>
        <v>0</v>
      </c>
      <c r="F8" s="82">
        <f>'r05P'!BB20</f>
        <v>0</v>
      </c>
      <c r="G8" s="82">
        <f>'r05P'!BC20</f>
        <v>0</v>
      </c>
      <c r="H8" s="82">
        <f>'r05P'!BD20</f>
        <v>0</v>
      </c>
      <c r="I8" s="81">
        <f>'r05P'!BE20</f>
        <v>0</v>
      </c>
    </row>
    <row r="9" spans="1:9" s="74" customFormat="1" ht="12.75">
      <c r="A9" s="85" t="str">
        <f>'r05P'!B21</f>
        <v>99</v>
      </c>
      <c r="B9" s="35" t="str">
        <f>'r05P'!C21</f>
        <v>Staveništní přesun hmot</v>
      </c>
      <c r="D9" s="84"/>
      <c r="E9" s="83">
        <f>'r05P'!BA23</f>
        <v>0</v>
      </c>
      <c r="F9" s="82">
        <f>'r05P'!BB23</f>
        <v>0</v>
      </c>
      <c r="G9" s="82">
        <f>'r05P'!BC23</f>
        <v>0</v>
      </c>
      <c r="H9" s="82">
        <f>'r05P'!BD23</f>
        <v>0</v>
      </c>
      <c r="I9" s="81">
        <f>'r05P'!BE23</f>
        <v>0</v>
      </c>
    </row>
    <row r="10" spans="1:9" s="74" customFormat="1" ht="13.8" thickBot="1">
      <c r="A10" s="85" t="str">
        <f>'r05P'!B24</f>
        <v>767</v>
      </c>
      <c r="B10" s="35" t="str">
        <f>'r05P'!C24</f>
        <v>Konstrukce zámečnické</v>
      </c>
      <c r="D10" s="84"/>
      <c r="E10" s="83">
        <f>'r05P'!BA33</f>
        <v>0</v>
      </c>
      <c r="F10" s="82">
        <f>'r05P'!BB33</f>
        <v>0</v>
      </c>
      <c r="G10" s="82">
        <f>'r05P'!BC33</f>
        <v>0</v>
      </c>
      <c r="H10" s="82">
        <f>'r05P'!BD33</f>
        <v>0</v>
      </c>
      <c r="I10" s="81">
        <f>'r05P'!BE33</f>
        <v>0</v>
      </c>
    </row>
    <row r="11" spans="1:9" s="384" customFormat="1" ht="13.8" thickBot="1">
      <c r="A11" s="410"/>
      <c r="B11" s="409" t="s">
        <v>69</v>
      </c>
      <c r="C11" s="409"/>
      <c r="D11" s="408"/>
      <c r="E11" s="407">
        <f>SUM(E7:E10)</f>
        <v>0</v>
      </c>
      <c r="F11" s="406">
        <f>SUM(F7:F10)</f>
        <v>0</v>
      </c>
      <c r="G11" s="406">
        <f>SUM(G7:G10)</f>
        <v>0</v>
      </c>
      <c r="H11" s="406">
        <f>SUM(H7:H10)</f>
        <v>0</v>
      </c>
      <c r="I11" s="405">
        <f>SUM(I7:I10)</f>
        <v>0</v>
      </c>
    </row>
    <row r="12" spans="1:9" ht="12.75">
      <c r="A12" s="321"/>
      <c r="B12" s="321"/>
      <c r="C12" s="321"/>
      <c r="D12" s="321"/>
      <c r="E12" s="321"/>
      <c r="F12" s="321"/>
      <c r="G12" s="321"/>
      <c r="H12" s="321"/>
      <c r="I12" s="321"/>
    </row>
    <row r="13" spans="1:57" ht="19.5" customHeight="1">
      <c r="A13" s="403" t="s">
        <v>68</v>
      </c>
      <c r="B13" s="403"/>
      <c r="C13" s="403"/>
      <c r="D13" s="403"/>
      <c r="E13" s="403"/>
      <c r="F13" s="403"/>
      <c r="G13" s="404"/>
      <c r="H13" s="403"/>
      <c r="I13" s="403"/>
      <c r="BA13" s="327"/>
      <c r="BB13" s="327"/>
      <c r="BC13" s="327"/>
      <c r="BD13" s="327"/>
      <c r="BE13" s="327"/>
    </row>
    <row r="14" ht="13.8" thickBot="1"/>
    <row r="15" spans="1:9" ht="12.75">
      <c r="A15" s="356" t="s">
        <v>67</v>
      </c>
      <c r="B15" s="357"/>
      <c r="C15" s="357"/>
      <c r="D15" s="402"/>
      <c r="E15" s="401" t="s">
        <v>65</v>
      </c>
      <c r="F15" s="400" t="s">
        <v>9</v>
      </c>
      <c r="G15" s="399" t="s">
        <v>66</v>
      </c>
      <c r="H15" s="398"/>
      <c r="I15" s="397" t="s">
        <v>65</v>
      </c>
    </row>
    <row r="16" spans="1:53" ht="12.75">
      <c r="A16" s="350" t="s">
        <v>64</v>
      </c>
      <c r="B16" s="341"/>
      <c r="C16" s="341"/>
      <c r="D16" s="396"/>
      <c r="E16" s="395">
        <v>0</v>
      </c>
      <c r="F16" s="394">
        <v>0</v>
      </c>
      <c r="G16" s="393">
        <v>0</v>
      </c>
      <c r="H16" s="392"/>
      <c r="I16" s="391">
        <f aca="true" t="shared" si="0" ref="I16:I23">E16+F16*G16/100</f>
        <v>0</v>
      </c>
      <c r="BA16" s="288">
        <v>0</v>
      </c>
    </row>
    <row r="17" spans="1:53" ht="12.75">
      <c r="A17" s="350" t="s">
        <v>63</v>
      </c>
      <c r="B17" s="341"/>
      <c r="C17" s="341"/>
      <c r="D17" s="396"/>
      <c r="E17" s="395">
        <v>0</v>
      </c>
      <c r="F17" s="394">
        <v>0</v>
      </c>
      <c r="G17" s="393">
        <v>0</v>
      </c>
      <c r="H17" s="392"/>
      <c r="I17" s="391">
        <f t="shared" si="0"/>
        <v>0</v>
      </c>
      <c r="BA17" s="288">
        <v>0</v>
      </c>
    </row>
    <row r="18" spans="1:53" ht="12.75">
      <c r="A18" s="350" t="s">
        <v>62</v>
      </c>
      <c r="B18" s="341"/>
      <c r="C18" s="341"/>
      <c r="D18" s="396"/>
      <c r="E18" s="395">
        <v>0</v>
      </c>
      <c r="F18" s="394">
        <v>0</v>
      </c>
      <c r="G18" s="393">
        <v>0</v>
      </c>
      <c r="H18" s="392"/>
      <c r="I18" s="391">
        <f t="shared" si="0"/>
        <v>0</v>
      </c>
      <c r="BA18" s="288">
        <v>0</v>
      </c>
    </row>
    <row r="19" spans="1:53" ht="12.75">
      <c r="A19" s="350" t="s">
        <v>61</v>
      </c>
      <c r="B19" s="341"/>
      <c r="C19" s="341"/>
      <c r="D19" s="396"/>
      <c r="E19" s="395">
        <v>0</v>
      </c>
      <c r="F19" s="394">
        <v>0</v>
      </c>
      <c r="G19" s="393">
        <v>0</v>
      </c>
      <c r="H19" s="392"/>
      <c r="I19" s="391">
        <f t="shared" si="0"/>
        <v>0</v>
      </c>
      <c r="BA19" s="288">
        <v>0</v>
      </c>
    </row>
    <row r="20" spans="1:53" ht="12.75">
      <c r="A20" s="350" t="s">
        <v>60</v>
      </c>
      <c r="B20" s="341"/>
      <c r="C20" s="341"/>
      <c r="D20" s="396"/>
      <c r="E20" s="395">
        <v>0</v>
      </c>
      <c r="F20" s="394">
        <v>3</v>
      </c>
      <c r="G20" s="393">
        <v>0</v>
      </c>
      <c r="H20" s="392"/>
      <c r="I20" s="391">
        <f t="shared" si="0"/>
        <v>0</v>
      </c>
      <c r="BA20" s="288">
        <v>1</v>
      </c>
    </row>
    <row r="21" spans="1:53" ht="12.75">
      <c r="A21" s="350" t="s">
        <v>59</v>
      </c>
      <c r="B21" s="341"/>
      <c r="C21" s="341"/>
      <c r="D21" s="396"/>
      <c r="E21" s="395">
        <v>0</v>
      </c>
      <c r="F21" s="394">
        <v>0</v>
      </c>
      <c r="G21" s="393">
        <v>0</v>
      </c>
      <c r="H21" s="392"/>
      <c r="I21" s="391">
        <f t="shared" si="0"/>
        <v>0</v>
      </c>
      <c r="BA21" s="288">
        <v>1</v>
      </c>
    </row>
    <row r="22" spans="1:53" ht="12.75">
      <c r="A22" s="350" t="s">
        <v>58</v>
      </c>
      <c r="B22" s="341"/>
      <c r="C22" s="341"/>
      <c r="D22" s="396"/>
      <c r="E22" s="395">
        <v>0</v>
      </c>
      <c r="F22" s="394">
        <v>1.2</v>
      </c>
      <c r="G22" s="393">
        <v>0</v>
      </c>
      <c r="H22" s="392"/>
      <c r="I22" s="391">
        <f t="shared" si="0"/>
        <v>0</v>
      </c>
      <c r="BA22" s="288">
        <v>2</v>
      </c>
    </row>
    <row r="23" spans="1:53" ht="12.75">
      <c r="A23" s="350" t="s">
        <v>41</v>
      </c>
      <c r="B23" s="341"/>
      <c r="C23" s="341"/>
      <c r="D23" s="396"/>
      <c r="E23" s="395">
        <v>0</v>
      </c>
      <c r="F23" s="394">
        <v>0</v>
      </c>
      <c r="G23" s="393">
        <v>0</v>
      </c>
      <c r="H23" s="392"/>
      <c r="I23" s="391">
        <f t="shared" si="0"/>
        <v>0</v>
      </c>
      <c r="BA23" s="288">
        <v>2</v>
      </c>
    </row>
    <row r="24" spans="1:9" ht="13.8" thickBot="1">
      <c r="A24" s="390"/>
      <c r="B24" s="389" t="s">
        <v>57</v>
      </c>
      <c r="C24" s="388"/>
      <c r="D24" s="387"/>
      <c r="E24" s="386"/>
      <c r="F24" s="385"/>
      <c r="G24" s="385"/>
      <c r="H24" s="1619">
        <f>SUM(I16:I23)</f>
        <v>0</v>
      </c>
      <c r="I24" s="1620"/>
    </row>
    <row r="26" spans="2:9" ht="12.75">
      <c r="B26" s="384"/>
      <c r="F26" s="383"/>
      <c r="G26" s="382"/>
      <c r="H26" s="382"/>
      <c r="I26" s="381"/>
    </row>
    <row r="27" spans="6:9" ht="12.75">
      <c r="F27" s="383"/>
      <c r="G27" s="382"/>
      <c r="H27" s="382"/>
      <c r="I27" s="381"/>
    </row>
    <row r="28" spans="6:9" ht="12.75">
      <c r="F28" s="383"/>
      <c r="G28" s="382"/>
      <c r="H28" s="382"/>
      <c r="I28" s="381"/>
    </row>
    <row r="29" spans="6:9" ht="12.75">
      <c r="F29" s="383"/>
      <c r="G29" s="382"/>
      <c r="H29" s="382"/>
      <c r="I29" s="381"/>
    </row>
    <row r="30" spans="6:9" ht="12.75">
      <c r="F30" s="383"/>
      <c r="G30" s="382"/>
      <c r="H30" s="382"/>
      <c r="I30" s="381"/>
    </row>
    <row r="31" spans="6:9" ht="12.75">
      <c r="F31" s="383"/>
      <c r="G31" s="382"/>
      <c r="H31" s="382"/>
      <c r="I31" s="381"/>
    </row>
    <row r="32" spans="6:9" ht="12.75">
      <c r="F32" s="383"/>
      <c r="G32" s="382"/>
      <c r="H32" s="382"/>
      <c r="I32" s="381"/>
    </row>
    <row r="33" spans="6:9" ht="12.75">
      <c r="F33" s="383"/>
      <c r="G33" s="382"/>
      <c r="H33" s="382"/>
      <c r="I33" s="381"/>
    </row>
    <row r="34" spans="6:9" ht="12.75">
      <c r="F34" s="383"/>
      <c r="G34" s="382"/>
      <c r="H34" s="382"/>
      <c r="I34" s="381"/>
    </row>
    <row r="35" spans="6:9" ht="12.75">
      <c r="F35" s="383"/>
      <c r="G35" s="382"/>
      <c r="H35" s="382"/>
      <c r="I35" s="381"/>
    </row>
    <row r="36" spans="6:9" ht="12.75">
      <c r="F36" s="383"/>
      <c r="G36" s="382"/>
      <c r="H36" s="382"/>
      <c r="I36" s="381"/>
    </row>
    <row r="37" spans="6:9" ht="12.75">
      <c r="F37" s="383"/>
      <c r="G37" s="382"/>
      <c r="H37" s="382"/>
      <c r="I37" s="381"/>
    </row>
    <row r="38" spans="6:9" ht="12.75">
      <c r="F38" s="383"/>
      <c r="G38" s="382"/>
      <c r="H38" s="382"/>
      <c r="I38" s="381"/>
    </row>
    <row r="39" spans="6:9" ht="12.75">
      <c r="F39" s="383"/>
      <c r="G39" s="382"/>
      <c r="H39" s="382"/>
      <c r="I39" s="381"/>
    </row>
    <row r="40" spans="6:9" ht="12.75">
      <c r="F40" s="383"/>
      <c r="G40" s="382"/>
      <c r="H40" s="382"/>
      <c r="I40" s="381"/>
    </row>
    <row r="41" spans="6:9" ht="12.75">
      <c r="F41" s="383"/>
      <c r="G41" s="382"/>
      <c r="H41" s="382"/>
      <c r="I41" s="381"/>
    </row>
    <row r="42" spans="6:9" ht="12.75">
      <c r="F42" s="383"/>
      <c r="G42" s="382"/>
      <c r="H42" s="382"/>
      <c r="I42" s="381"/>
    </row>
    <row r="43" spans="6:9" ht="12.75">
      <c r="F43" s="383"/>
      <c r="G43" s="382"/>
      <c r="H43" s="382"/>
      <c r="I43" s="381"/>
    </row>
    <row r="44" spans="6:9" ht="12.75">
      <c r="F44" s="383"/>
      <c r="G44" s="382"/>
      <c r="H44" s="382"/>
      <c r="I44" s="381"/>
    </row>
    <row r="45" spans="6:9" ht="12.75">
      <c r="F45" s="383"/>
      <c r="G45" s="382"/>
      <c r="H45" s="382"/>
      <c r="I45" s="381"/>
    </row>
    <row r="46" spans="6:9" ht="12.75">
      <c r="F46" s="383"/>
      <c r="G46" s="382"/>
      <c r="H46" s="382"/>
      <c r="I46" s="381"/>
    </row>
    <row r="47" spans="6:9" ht="12.75">
      <c r="F47" s="383"/>
      <c r="G47" s="382"/>
      <c r="H47" s="382"/>
      <c r="I47" s="381"/>
    </row>
    <row r="48" spans="6:9" ht="12.75">
      <c r="F48" s="383"/>
      <c r="G48" s="382"/>
      <c r="H48" s="382"/>
      <c r="I48" s="381"/>
    </row>
    <row r="49" spans="6:9" ht="12.75">
      <c r="F49" s="383"/>
      <c r="G49" s="382"/>
      <c r="H49" s="382"/>
      <c r="I49" s="381"/>
    </row>
    <row r="50" spans="6:9" ht="12.75">
      <c r="F50" s="383"/>
      <c r="G50" s="382"/>
      <c r="H50" s="382"/>
      <c r="I50" s="381"/>
    </row>
    <row r="51" spans="6:9" ht="12.75">
      <c r="F51" s="383"/>
      <c r="G51" s="382"/>
      <c r="H51" s="382"/>
      <c r="I51" s="381"/>
    </row>
    <row r="52" spans="6:9" ht="12.75">
      <c r="F52" s="383"/>
      <c r="G52" s="382"/>
      <c r="H52" s="382"/>
      <c r="I52" s="381"/>
    </row>
    <row r="53" spans="6:9" ht="12.75">
      <c r="F53" s="383"/>
      <c r="G53" s="382"/>
      <c r="H53" s="382"/>
      <c r="I53" s="381"/>
    </row>
    <row r="54" spans="6:9" ht="12.75">
      <c r="F54" s="383"/>
      <c r="G54" s="382"/>
      <c r="H54" s="382"/>
      <c r="I54" s="381"/>
    </row>
    <row r="55" spans="6:9" ht="12.75">
      <c r="F55" s="383"/>
      <c r="G55" s="382"/>
      <c r="H55" s="382"/>
      <c r="I55" s="381"/>
    </row>
    <row r="56" spans="6:9" ht="12.75">
      <c r="F56" s="383"/>
      <c r="G56" s="382"/>
      <c r="H56" s="382"/>
      <c r="I56" s="381"/>
    </row>
    <row r="57" spans="6:9" ht="12.75">
      <c r="F57" s="383"/>
      <c r="G57" s="382"/>
      <c r="H57" s="382"/>
      <c r="I57" s="381"/>
    </row>
    <row r="58" spans="6:9" ht="12.75">
      <c r="F58" s="383"/>
      <c r="G58" s="382"/>
      <c r="H58" s="382"/>
      <c r="I58" s="381"/>
    </row>
    <row r="59" spans="6:9" ht="12.75">
      <c r="F59" s="383"/>
      <c r="G59" s="382"/>
      <c r="H59" s="382"/>
      <c r="I59" s="381"/>
    </row>
    <row r="60" spans="6:9" ht="12.75">
      <c r="F60" s="383"/>
      <c r="G60" s="382"/>
      <c r="H60" s="382"/>
      <c r="I60" s="381"/>
    </row>
    <row r="61" spans="6:9" ht="12.75">
      <c r="F61" s="383"/>
      <c r="G61" s="382"/>
      <c r="H61" s="382"/>
      <c r="I61" s="381"/>
    </row>
    <row r="62" spans="6:9" ht="12.75">
      <c r="F62" s="383"/>
      <c r="G62" s="382"/>
      <c r="H62" s="382"/>
      <c r="I62" s="381"/>
    </row>
    <row r="63" spans="6:9" ht="12.75">
      <c r="F63" s="383"/>
      <c r="G63" s="382"/>
      <c r="H63" s="382"/>
      <c r="I63" s="381"/>
    </row>
    <row r="64" spans="6:9" ht="12.75">
      <c r="F64" s="383"/>
      <c r="G64" s="382"/>
      <c r="H64" s="382"/>
      <c r="I64" s="381"/>
    </row>
    <row r="65" spans="6:9" ht="12.75">
      <c r="F65" s="383"/>
      <c r="G65" s="382"/>
      <c r="H65" s="382"/>
      <c r="I65" s="381"/>
    </row>
    <row r="66" spans="6:9" ht="12.75">
      <c r="F66" s="383"/>
      <c r="G66" s="382"/>
      <c r="H66" s="382"/>
      <c r="I66" s="381"/>
    </row>
    <row r="67" spans="6:9" ht="12.75">
      <c r="F67" s="383"/>
      <c r="G67" s="382"/>
      <c r="H67" s="382"/>
      <c r="I67" s="381"/>
    </row>
    <row r="68" spans="6:9" ht="12.75">
      <c r="F68" s="383"/>
      <c r="G68" s="382"/>
      <c r="H68" s="382"/>
      <c r="I68" s="381"/>
    </row>
    <row r="69" spans="6:9" ht="12.75">
      <c r="F69" s="383"/>
      <c r="G69" s="382"/>
      <c r="H69" s="382"/>
      <c r="I69" s="381"/>
    </row>
    <row r="70" spans="6:9" ht="12.75">
      <c r="F70" s="383"/>
      <c r="G70" s="382"/>
      <c r="H70" s="382"/>
      <c r="I70" s="381"/>
    </row>
    <row r="71" spans="6:9" ht="12.75">
      <c r="F71" s="383"/>
      <c r="G71" s="382"/>
      <c r="H71" s="382"/>
      <c r="I71" s="381"/>
    </row>
    <row r="72" spans="6:9" ht="12.75">
      <c r="F72" s="383"/>
      <c r="G72" s="382"/>
      <c r="H72" s="382"/>
      <c r="I72" s="381"/>
    </row>
    <row r="73" spans="6:9" ht="12.75">
      <c r="F73" s="383"/>
      <c r="G73" s="382"/>
      <c r="H73" s="382"/>
      <c r="I73" s="381"/>
    </row>
    <row r="74" spans="6:9" ht="12.75">
      <c r="F74" s="383"/>
      <c r="G74" s="382"/>
      <c r="H74" s="382"/>
      <c r="I74" s="381"/>
    </row>
    <row r="75" spans="6:9" ht="12.75">
      <c r="F75" s="383"/>
      <c r="G75" s="382"/>
      <c r="H75" s="382"/>
      <c r="I75" s="381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CB106"/>
  <sheetViews>
    <sheetView showGridLines="0" showZeros="0" zoomScaleSheetLayoutView="100" workbookViewId="0" topLeftCell="A1">
      <selection activeCell="E32" sqref="E32"/>
    </sheetView>
  </sheetViews>
  <sheetFormatPr defaultColWidth="9.125" defaultRowHeight="12.75"/>
  <cols>
    <col min="1" max="1" width="4.50390625" style="434" customWidth="1"/>
    <col min="2" max="2" width="11.50390625" style="434" customWidth="1"/>
    <col min="3" max="3" width="40.50390625" style="434" customWidth="1"/>
    <col min="4" max="4" width="5.50390625" style="434" customWidth="1"/>
    <col min="5" max="5" width="8.50390625" style="435" customWidth="1"/>
    <col min="6" max="6" width="9.875" style="434" customWidth="1"/>
    <col min="7" max="7" width="13.875" style="434" customWidth="1"/>
    <col min="8" max="8" width="11.625" style="434" hidden="1" customWidth="1"/>
    <col min="9" max="9" width="11.50390625" style="434" hidden="1" customWidth="1"/>
    <col min="10" max="10" width="11.00390625" style="434" customWidth="1"/>
    <col min="11" max="11" width="10.50390625" style="434" customWidth="1"/>
    <col min="12" max="12" width="75.50390625" style="434" customWidth="1"/>
    <col min="13" max="13" width="45.375" style="434" customWidth="1"/>
    <col min="14" max="16384" width="9.125" style="434" customWidth="1"/>
  </cols>
  <sheetData>
    <row r="1" spans="1:7" ht="15.6">
      <c r="A1" s="1622" t="s">
        <v>127</v>
      </c>
      <c r="B1" s="1622"/>
      <c r="C1" s="1622"/>
      <c r="D1" s="1622"/>
      <c r="E1" s="1622"/>
      <c r="F1" s="1622"/>
      <c r="G1" s="1622"/>
    </row>
    <row r="2" spans="2:7" ht="14.25" customHeight="1" thickBot="1">
      <c r="B2" s="493"/>
      <c r="C2" s="491"/>
      <c r="D2" s="491"/>
      <c r="E2" s="492"/>
      <c r="F2" s="491"/>
      <c r="G2" s="491"/>
    </row>
    <row r="3" spans="1:7" ht="13.8" thickTop="1">
      <c r="A3" s="1612" t="s">
        <v>2</v>
      </c>
      <c r="B3" s="1613"/>
      <c r="C3" s="433" t="s">
        <v>82</v>
      </c>
      <c r="D3" s="490"/>
      <c r="E3" s="489" t="s">
        <v>128</v>
      </c>
      <c r="F3" s="488" t="str">
        <f>'r05R'!H1</f>
        <v/>
      </c>
      <c r="G3" s="487"/>
    </row>
    <row r="4" spans="1:7" ht="13.8" thickBot="1">
      <c r="A4" s="1623" t="s">
        <v>79</v>
      </c>
      <c r="B4" s="1615"/>
      <c r="C4" s="427" t="s">
        <v>1621</v>
      </c>
      <c r="D4" s="486"/>
      <c r="E4" s="1624" t="str">
        <f>'r05R'!G2</f>
        <v>aktualizovaný</v>
      </c>
      <c r="F4" s="1625"/>
      <c r="G4" s="1626"/>
    </row>
    <row r="5" spans="1:7" ht="13.8" thickTop="1">
      <c r="A5" s="485"/>
      <c r="G5" s="484"/>
    </row>
    <row r="6" spans="1:11" ht="27" customHeight="1">
      <c r="A6" s="483" t="s">
        <v>129</v>
      </c>
      <c r="B6" s="481" t="s">
        <v>130</v>
      </c>
      <c r="C6" s="481" t="s">
        <v>131</v>
      </c>
      <c r="D6" s="481" t="s">
        <v>132</v>
      </c>
      <c r="E6" s="482" t="s">
        <v>133</v>
      </c>
      <c r="F6" s="481" t="s">
        <v>134</v>
      </c>
      <c r="G6" s="480" t="s">
        <v>135</v>
      </c>
      <c r="H6" s="479" t="s">
        <v>136</v>
      </c>
      <c r="I6" s="479" t="s">
        <v>137</v>
      </c>
      <c r="J6" s="566"/>
      <c r="K6" s="567"/>
    </row>
    <row r="7" spans="1:15" ht="12.75">
      <c r="A7" s="471" t="s">
        <v>140</v>
      </c>
      <c r="B7" s="470" t="s">
        <v>141</v>
      </c>
      <c r="C7" s="469" t="s">
        <v>142</v>
      </c>
      <c r="D7" s="468"/>
      <c r="E7" s="467"/>
      <c r="F7" s="467"/>
      <c r="G7" s="466"/>
      <c r="H7" s="465"/>
      <c r="I7" s="464"/>
      <c r="J7" s="568"/>
      <c r="K7" s="569"/>
      <c r="O7" s="444">
        <v>1</v>
      </c>
    </row>
    <row r="8" spans="1:80" ht="12.75">
      <c r="A8" s="461">
        <v>1</v>
      </c>
      <c r="B8" s="460" t="s">
        <v>1599</v>
      </c>
      <c r="C8" s="459" t="s">
        <v>1600</v>
      </c>
      <c r="D8" s="458" t="s">
        <v>154</v>
      </c>
      <c r="E8" s="457">
        <v>1.26</v>
      </c>
      <c r="F8" s="457"/>
      <c r="G8" s="456">
        <f>E8*F8</f>
        <v>0</v>
      </c>
      <c r="H8" s="455">
        <v>0</v>
      </c>
      <c r="I8" s="454">
        <f>E8*H8</f>
        <v>0</v>
      </c>
      <c r="J8" s="570"/>
      <c r="K8" s="571"/>
      <c r="O8" s="444">
        <v>2</v>
      </c>
      <c r="AA8" s="434">
        <v>1</v>
      </c>
      <c r="AB8" s="434">
        <v>1</v>
      </c>
      <c r="AC8" s="434">
        <v>1</v>
      </c>
      <c r="AZ8" s="434">
        <v>1</v>
      </c>
      <c r="BA8" s="434">
        <f>IF(AZ8=1,G8,0)</f>
        <v>0</v>
      </c>
      <c r="BB8" s="434">
        <f>IF(AZ8=2,G8,0)</f>
        <v>0</v>
      </c>
      <c r="BC8" s="434">
        <f>IF(AZ8=3,G8,0)</f>
        <v>0</v>
      </c>
      <c r="BD8" s="434">
        <f>IF(AZ8=4,G8,0)</f>
        <v>0</v>
      </c>
      <c r="BE8" s="434">
        <f>IF(AZ8=5,G8,0)</f>
        <v>0</v>
      </c>
      <c r="CA8" s="444">
        <v>1</v>
      </c>
      <c r="CB8" s="444">
        <v>1</v>
      </c>
    </row>
    <row r="9" spans="1:15" ht="12.75">
      <c r="A9" s="478"/>
      <c r="B9" s="477"/>
      <c r="C9" s="1621" t="s">
        <v>1622</v>
      </c>
      <c r="D9" s="1589"/>
      <c r="E9" s="476">
        <v>1.035</v>
      </c>
      <c r="F9" s="475"/>
      <c r="G9" s="230"/>
      <c r="H9" s="474"/>
      <c r="I9" s="473"/>
      <c r="J9" s="568"/>
      <c r="K9" s="572"/>
      <c r="M9" s="472" t="s">
        <v>1622</v>
      </c>
      <c r="O9" s="444"/>
    </row>
    <row r="10" spans="1:15" ht="12.75">
      <c r="A10" s="478"/>
      <c r="B10" s="477"/>
      <c r="C10" s="1621" t="s">
        <v>1623</v>
      </c>
      <c r="D10" s="1589"/>
      <c r="E10" s="476">
        <v>0.225</v>
      </c>
      <c r="F10" s="475"/>
      <c r="G10" s="230"/>
      <c r="H10" s="474"/>
      <c r="I10" s="473"/>
      <c r="J10" s="568"/>
      <c r="K10" s="572"/>
      <c r="M10" s="472" t="s">
        <v>1623</v>
      </c>
      <c r="O10" s="444"/>
    </row>
    <row r="11" spans="1:80" ht="12.75">
      <c r="A11" s="461">
        <v>2</v>
      </c>
      <c r="B11" s="460" t="s">
        <v>1605</v>
      </c>
      <c r="C11" s="459" t="s">
        <v>1606</v>
      </c>
      <c r="D11" s="458" t="s">
        <v>154</v>
      </c>
      <c r="E11" s="457">
        <v>1.26</v>
      </c>
      <c r="F11" s="457"/>
      <c r="G11" s="456">
        <f>E11*F11</f>
        <v>0</v>
      </c>
      <c r="H11" s="455">
        <v>0</v>
      </c>
      <c r="I11" s="454">
        <f>E11*H11</f>
        <v>0</v>
      </c>
      <c r="J11" s="570"/>
      <c r="K11" s="571"/>
      <c r="O11" s="444">
        <v>2</v>
      </c>
      <c r="AA11" s="434">
        <v>1</v>
      </c>
      <c r="AB11" s="434">
        <v>1</v>
      </c>
      <c r="AC11" s="434">
        <v>1</v>
      </c>
      <c r="AZ11" s="434">
        <v>1</v>
      </c>
      <c r="BA11" s="434">
        <f>IF(AZ11=1,G11,0)</f>
        <v>0</v>
      </c>
      <c r="BB11" s="434">
        <f>IF(AZ11=2,G11,0)</f>
        <v>0</v>
      </c>
      <c r="BC11" s="434">
        <f>IF(AZ11=3,G11,0)</f>
        <v>0</v>
      </c>
      <c r="BD11" s="434">
        <f>IF(AZ11=4,G11,0)</f>
        <v>0</v>
      </c>
      <c r="BE11" s="434">
        <f>IF(AZ11=5,G11,0)</f>
        <v>0</v>
      </c>
      <c r="CA11" s="444">
        <v>1</v>
      </c>
      <c r="CB11" s="444">
        <v>1</v>
      </c>
    </row>
    <row r="12" spans="1:80" ht="20.4">
      <c r="A12" s="461">
        <v>3</v>
      </c>
      <c r="B12" s="460" t="s">
        <v>1607</v>
      </c>
      <c r="C12" s="459" t="s">
        <v>1608</v>
      </c>
      <c r="D12" s="458" t="s">
        <v>154</v>
      </c>
      <c r="E12" s="457">
        <v>1.26</v>
      </c>
      <c r="F12" s="457"/>
      <c r="G12" s="456">
        <f>E12*F12</f>
        <v>0</v>
      </c>
      <c r="H12" s="455">
        <v>0</v>
      </c>
      <c r="I12" s="454">
        <f>E12*H12</f>
        <v>0</v>
      </c>
      <c r="J12" s="570"/>
      <c r="K12" s="571"/>
      <c r="O12" s="444">
        <v>2</v>
      </c>
      <c r="AA12" s="434">
        <v>1</v>
      </c>
      <c r="AB12" s="434">
        <v>1</v>
      </c>
      <c r="AC12" s="434">
        <v>1</v>
      </c>
      <c r="AZ12" s="434">
        <v>1</v>
      </c>
      <c r="BA12" s="434">
        <f>IF(AZ12=1,G12,0)</f>
        <v>0</v>
      </c>
      <c r="BB12" s="434">
        <f>IF(AZ12=2,G12,0)</f>
        <v>0</v>
      </c>
      <c r="BC12" s="434">
        <f>IF(AZ12=3,G12,0)</f>
        <v>0</v>
      </c>
      <c r="BD12" s="434">
        <f>IF(AZ12=4,G12,0)</f>
        <v>0</v>
      </c>
      <c r="BE12" s="434">
        <f>IF(AZ12=5,G12,0)</f>
        <v>0</v>
      </c>
      <c r="CA12" s="444">
        <v>1</v>
      </c>
      <c r="CB12" s="444">
        <v>1</v>
      </c>
    </row>
    <row r="13" spans="1:80" ht="12.75">
      <c r="A13" s="461">
        <v>4</v>
      </c>
      <c r="B13" s="460" t="s">
        <v>162</v>
      </c>
      <c r="C13" s="459" t="s">
        <v>163</v>
      </c>
      <c r="D13" s="458" t="s">
        <v>154</v>
      </c>
      <c r="E13" s="457">
        <v>1.26</v>
      </c>
      <c r="F13" s="457"/>
      <c r="G13" s="456">
        <f>E13*F13</f>
        <v>0</v>
      </c>
      <c r="H13" s="455">
        <v>0</v>
      </c>
      <c r="I13" s="454">
        <f>E13*H13</f>
        <v>0</v>
      </c>
      <c r="J13" s="570"/>
      <c r="K13" s="571"/>
      <c r="O13" s="444">
        <v>2</v>
      </c>
      <c r="AA13" s="434">
        <v>1</v>
      </c>
      <c r="AB13" s="434">
        <v>1</v>
      </c>
      <c r="AC13" s="434">
        <v>1</v>
      </c>
      <c r="AZ13" s="434">
        <v>1</v>
      </c>
      <c r="BA13" s="434">
        <f>IF(AZ13=1,G13,0)</f>
        <v>0</v>
      </c>
      <c r="BB13" s="434">
        <f>IF(AZ13=2,G13,0)</f>
        <v>0</v>
      </c>
      <c r="BC13" s="434">
        <f>IF(AZ13=3,G13,0)</f>
        <v>0</v>
      </c>
      <c r="BD13" s="434">
        <f>IF(AZ13=4,G13,0)</f>
        <v>0</v>
      </c>
      <c r="BE13" s="434">
        <f>IF(AZ13=5,G13,0)</f>
        <v>0</v>
      </c>
      <c r="CA13" s="444">
        <v>1</v>
      </c>
      <c r="CB13" s="444">
        <v>1</v>
      </c>
    </row>
    <row r="14" spans="1:80" ht="12.75">
      <c r="A14" s="461">
        <v>5</v>
      </c>
      <c r="B14" s="460" t="s">
        <v>1609</v>
      </c>
      <c r="C14" s="459" t="s">
        <v>1610</v>
      </c>
      <c r="D14" s="458" t="s">
        <v>154</v>
      </c>
      <c r="E14" s="457">
        <v>1.26</v>
      </c>
      <c r="F14" s="457"/>
      <c r="G14" s="456">
        <f>E14*F14</f>
        <v>0</v>
      </c>
      <c r="H14" s="455">
        <v>0</v>
      </c>
      <c r="I14" s="454">
        <f>E14*H14</f>
        <v>0</v>
      </c>
      <c r="J14" s="570"/>
      <c r="K14" s="571"/>
      <c r="O14" s="444">
        <v>2</v>
      </c>
      <c r="AA14" s="434">
        <v>1</v>
      </c>
      <c r="AB14" s="434">
        <v>1</v>
      </c>
      <c r="AC14" s="434">
        <v>1</v>
      </c>
      <c r="AZ14" s="434">
        <v>1</v>
      </c>
      <c r="BA14" s="434">
        <f>IF(AZ14=1,G14,0)</f>
        <v>0</v>
      </c>
      <c r="BB14" s="434">
        <f>IF(AZ14=2,G14,0)</f>
        <v>0</v>
      </c>
      <c r="BC14" s="434">
        <f>IF(AZ14=3,G14,0)</f>
        <v>0</v>
      </c>
      <c r="BD14" s="434">
        <f>IF(AZ14=4,G14,0)</f>
        <v>0</v>
      </c>
      <c r="BE14" s="434">
        <f>IF(AZ14=5,G14,0)</f>
        <v>0</v>
      </c>
      <c r="CA14" s="444">
        <v>1</v>
      </c>
      <c r="CB14" s="444">
        <v>1</v>
      </c>
    </row>
    <row r="15" spans="1:57" ht="12.75">
      <c r="A15" s="453"/>
      <c r="B15" s="452" t="s">
        <v>175</v>
      </c>
      <c r="C15" s="451" t="s">
        <v>176</v>
      </c>
      <c r="D15" s="450"/>
      <c r="E15" s="449"/>
      <c r="F15" s="448"/>
      <c r="G15" s="447">
        <f>SUM(G7:G14)</f>
        <v>0</v>
      </c>
      <c r="H15" s="446"/>
      <c r="I15" s="445">
        <f>SUM(I7:I14)</f>
        <v>0</v>
      </c>
      <c r="J15" s="568"/>
      <c r="K15" s="576"/>
      <c r="O15" s="444">
        <v>4</v>
      </c>
      <c r="BA15" s="443">
        <f>SUM(BA7:BA14)</f>
        <v>0</v>
      </c>
      <c r="BB15" s="443">
        <f>SUM(BB7:BB14)</f>
        <v>0</v>
      </c>
      <c r="BC15" s="443">
        <f>SUM(BC7:BC14)</f>
        <v>0</v>
      </c>
      <c r="BD15" s="443">
        <f>SUM(BD7:BD14)</f>
        <v>0</v>
      </c>
      <c r="BE15" s="443">
        <f>SUM(BE7:BE14)</f>
        <v>0</v>
      </c>
    </row>
    <row r="16" spans="1:15" ht="12.75">
      <c r="A16" s="471" t="s">
        <v>140</v>
      </c>
      <c r="B16" s="470" t="s">
        <v>183</v>
      </c>
      <c r="C16" s="469" t="s">
        <v>184</v>
      </c>
      <c r="D16" s="468"/>
      <c r="E16" s="467"/>
      <c r="F16" s="467"/>
      <c r="G16" s="466"/>
      <c r="H16" s="465"/>
      <c r="I16" s="464"/>
      <c r="J16" s="568"/>
      <c r="K16" s="569"/>
      <c r="O16" s="444">
        <v>1</v>
      </c>
    </row>
    <row r="17" spans="1:80" ht="12.75">
      <c r="A17" s="461">
        <v>6</v>
      </c>
      <c r="B17" s="460" t="s">
        <v>541</v>
      </c>
      <c r="C17" s="459" t="s">
        <v>542</v>
      </c>
      <c r="D17" s="458" t="s">
        <v>154</v>
      </c>
      <c r="E17" s="457">
        <v>1.26</v>
      </c>
      <c r="F17" s="457"/>
      <c r="G17" s="456">
        <f>E17*F17</f>
        <v>0</v>
      </c>
      <c r="H17" s="455">
        <v>2.525</v>
      </c>
      <c r="I17" s="454">
        <f>E17*H17</f>
        <v>3.1814999999999998</v>
      </c>
      <c r="J17" s="570"/>
      <c r="K17" s="571"/>
      <c r="O17" s="444">
        <v>2</v>
      </c>
      <c r="AA17" s="434">
        <v>1</v>
      </c>
      <c r="AB17" s="434">
        <v>1</v>
      </c>
      <c r="AC17" s="434">
        <v>1</v>
      </c>
      <c r="AZ17" s="434">
        <v>1</v>
      </c>
      <c r="BA17" s="434">
        <f>IF(AZ17=1,G17,0)</f>
        <v>0</v>
      </c>
      <c r="BB17" s="434">
        <f>IF(AZ17=2,G17,0)</f>
        <v>0</v>
      </c>
      <c r="BC17" s="434">
        <f>IF(AZ17=3,G17,0)</f>
        <v>0</v>
      </c>
      <c r="BD17" s="434">
        <f>IF(AZ17=4,G17,0)</f>
        <v>0</v>
      </c>
      <c r="BE17" s="434">
        <f>IF(AZ17=5,G17,0)</f>
        <v>0</v>
      </c>
      <c r="CA17" s="444">
        <v>1</v>
      </c>
      <c r="CB17" s="444">
        <v>1</v>
      </c>
    </row>
    <row r="18" spans="1:15" ht="12.75">
      <c r="A18" s="478"/>
      <c r="B18" s="477"/>
      <c r="C18" s="1621" t="s">
        <v>1622</v>
      </c>
      <c r="D18" s="1589"/>
      <c r="E18" s="476">
        <v>1.035</v>
      </c>
      <c r="F18" s="475"/>
      <c r="G18" s="230"/>
      <c r="H18" s="474"/>
      <c r="I18" s="473"/>
      <c r="J18" s="568"/>
      <c r="K18" s="572"/>
      <c r="M18" s="472" t="s">
        <v>1622</v>
      </c>
      <c r="O18" s="444"/>
    </row>
    <row r="19" spans="1:15" ht="12.75">
      <c r="A19" s="478"/>
      <c r="B19" s="477"/>
      <c r="C19" s="1621" t="s">
        <v>1623</v>
      </c>
      <c r="D19" s="1589"/>
      <c r="E19" s="476">
        <v>0.225</v>
      </c>
      <c r="F19" s="475"/>
      <c r="G19" s="230"/>
      <c r="H19" s="474"/>
      <c r="I19" s="473"/>
      <c r="J19" s="568"/>
      <c r="K19" s="572"/>
      <c r="M19" s="472" t="s">
        <v>1623</v>
      </c>
      <c r="O19" s="444"/>
    </row>
    <row r="20" spans="1:57" ht="12.75">
      <c r="A20" s="453"/>
      <c r="B20" s="452" t="s">
        <v>175</v>
      </c>
      <c r="C20" s="451" t="s">
        <v>187</v>
      </c>
      <c r="D20" s="450"/>
      <c r="E20" s="449"/>
      <c r="F20" s="448"/>
      <c r="G20" s="447">
        <f>SUM(G16:G19)</f>
        <v>0</v>
      </c>
      <c r="H20" s="446"/>
      <c r="I20" s="445">
        <f>SUM(I16:I19)</f>
        <v>3.1814999999999998</v>
      </c>
      <c r="J20" s="568"/>
      <c r="K20" s="576"/>
      <c r="O20" s="444">
        <v>4</v>
      </c>
      <c r="BA20" s="443">
        <f>SUM(BA16:BA19)</f>
        <v>0</v>
      </c>
      <c r="BB20" s="443">
        <f>SUM(BB16:BB19)</f>
        <v>0</v>
      </c>
      <c r="BC20" s="443">
        <f>SUM(BC16:BC19)</f>
        <v>0</v>
      </c>
      <c r="BD20" s="443">
        <f>SUM(BD16:BD19)</f>
        <v>0</v>
      </c>
      <c r="BE20" s="443">
        <f>SUM(BE16:BE19)</f>
        <v>0</v>
      </c>
    </row>
    <row r="21" spans="1:15" ht="12.75">
      <c r="A21" s="471" t="s">
        <v>140</v>
      </c>
      <c r="B21" s="470" t="s">
        <v>234</v>
      </c>
      <c r="C21" s="469" t="s">
        <v>235</v>
      </c>
      <c r="D21" s="468"/>
      <c r="E21" s="467"/>
      <c r="F21" s="467"/>
      <c r="G21" s="466"/>
      <c r="H21" s="465"/>
      <c r="I21" s="464"/>
      <c r="J21" s="568"/>
      <c r="K21" s="569"/>
      <c r="O21" s="444">
        <v>1</v>
      </c>
    </row>
    <row r="22" spans="1:80" ht="12.75">
      <c r="A22" s="461">
        <v>7</v>
      </c>
      <c r="B22" s="460" t="s">
        <v>1611</v>
      </c>
      <c r="C22" s="459" t="s">
        <v>1612</v>
      </c>
      <c r="D22" s="458" t="s">
        <v>166</v>
      </c>
      <c r="E22" s="457">
        <v>3.1815</v>
      </c>
      <c r="F22" s="457"/>
      <c r="G22" s="456">
        <f>E22*F22</f>
        <v>0</v>
      </c>
      <c r="H22" s="455">
        <v>0</v>
      </c>
      <c r="I22" s="454">
        <f>E22*H22</f>
        <v>0</v>
      </c>
      <c r="J22" s="570"/>
      <c r="K22" s="571"/>
      <c r="O22" s="444">
        <v>2</v>
      </c>
      <c r="AA22" s="434">
        <v>7</v>
      </c>
      <c r="AB22" s="434">
        <v>1</v>
      </c>
      <c r="AC22" s="434">
        <v>2</v>
      </c>
      <c r="AZ22" s="434">
        <v>1</v>
      </c>
      <c r="BA22" s="434">
        <f>IF(AZ22=1,G22,0)</f>
        <v>0</v>
      </c>
      <c r="BB22" s="434">
        <f>IF(AZ22=2,G22,0)</f>
        <v>0</v>
      </c>
      <c r="BC22" s="434">
        <f>IF(AZ22=3,G22,0)</f>
        <v>0</v>
      </c>
      <c r="BD22" s="434">
        <f>IF(AZ22=4,G22,0)</f>
        <v>0</v>
      </c>
      <c r="BE22" s="434">
        <f>IF(AZ22=5,G22,0)</f>
        <v>0</v>
      </c>
      <c r="CA22" s="444">
        <v>7</v>
      </c>
      <c r="CB22" s="444">
        <v>1</v>
      </c>
    </row>
    <row r="23" spans="1:57" ht="12.75">
      <c r="A23" s="453"/>
      <c r="B23" s="452" t="s">
        <v>175</v>
      </c>
      <c r="C23" s="451" t="s">
        <v>238</v>
      </c>
      <c r="D23" s="450"/>
      <c r="E23" s="449"/>
      <c r="F23" s="448"/>
      <c r="G23" s="447">
        <f>SUM(G21:G22)</f>
        <v>0</v>
      </c>
      <c r="H23" s="446"/>
      <c r="I23" s="445">
        <f>SUM(I21:I22)</f>
        <v>0</v>
      </c>
      <c r="J23" s="568"/>
      <c r="K23" s="576"/>
      <c r="O23" s="444">
        <v>4</v>
      </c>
      <c r="BA23" s="443">
        <f>SUM(BA21:BA22)</f>
        <v>0</v>
      </c>
      <c r="BB23" s="443">
        <f>SUM(BB21:BB22)</f>
        <v>0</v>
      </c>
      <c r="BC23" s="443">
        <f>SUM(BC21:BC22)</f>
        <v>0</v>
      </c>
      <c r="BD23" s="443">
        <f>SUM(BD21:BD22)</f>
        <v>0</v>
      </c>
      <c r="BE23" s="443">
        <f>SUM(BE21:BE22)</f>
        <v>0</v>
      </c>
    </row>
    <row r="24" spans="1:15" ht="12.75">
      <c r="A24" s="471" t="s">
        <v>140</v>
      </c>
      <c r="B24" s="470" t="s">
        <v>255</v>
      </c>
      <c r="C24" s="469" t="s">
        <v>256</v>
      </c>
      <c r="D24" s="468"/>
      <c r="E24" s="467"/>
      <c r="F24" s="467"/>
      <c r="G24" s="466"/>
      <c r="H24" s="465"/>
      <c r="I24" s="464"/>
      <c r="J24" s="568"/>
      <c r="K24" s="569"/>
      <c r="O24" s="444">
        <v>1</v>
      </c>
    </row>
    <row r="25" spans="1:80" ht="20.4">
      <c r="A25" s="461">
        <v>8</v>
      </c>
      <c r="B25" s="460" t="s">
        <v>1613</v>
      </c>
      <c r="C25" s="459" t="s">
        <v>1614</v>
      </c>
      <c r="D25" s="458" t="s">
        <v>181</v>
      </c>
      <c r="E25" s="457">
        <v>1</v>
      </c>
      <c r="F25" s="457"/>
      <c r="G25" s="456">
        <f>E25*F25</f>
        <v>0</v>
      </c>
      <c r="H25" s="455">
        <v>0</v>
      </c>
      <c r="I25" s="454">
        <f>E25*H25</f>
        <v>0</v>
      </c>
      <c r="J25" s="570"/>
      <c r="K25" s="571"/>
      <c r="O25" s="444">
        <v>2</v>
      </c>
      <c r="AA25" s="434">
        <v>1</v>
      </c>
      <c r="AB25" s="434">
        <v>7</v>
      </c>
      <c r="AC25" s="434">
        <v>7</v>
      </c>
      <c r="AZ25" s="434">
        <v>2</v>
      </c>
      <c r="BA25" s="434">
        <f>IF(AZ25=1,G25,0)</f>
        <v>0</v>
      </c>
      <c r="BB25" s="434">
        <f>IF(AZ25=2,G25,0)</f>
        <v>0</v>
      </c>
      <c r="BC25" s="434">
        <f>IF(AZ25=3,G25,0)</f>
        <v>0</v>
      </c>
      <c r="BD25" s="434">
        <f>IF(AZ25=4,G25,0)</f>
        <v>0</v>
      </c>
      <c r="BE25" s="434">
        <f>IF(AZ25=5,G25,0)</f>
        <v>0</v>
      </c>
      <c r="CA25" s="444">
        <v>1</v>
      </c>
      <c r="CB25" s="444">
        <v>7</v>
      </c>
    </row>
    <row r="26" spans="1:80" ht="12.75">
      <c r="A26" s="461">
        <v>9</v>
      </c>
      <c r="B26" s="460" t="s">
        <v>1624</v>
      </c>
      <c r="C26" s="459" t="s">
        <v>1625</v>
      </c>
      <c r="D26" s="458" t="s">
        <v>196</v>
      </c>
      <c r="E26" s="457">
        <v>10</v>
      </c>
      <c r="F26" s="457"/>
      <c r="G26" s="456">
        <f>E26*F26</f>
        <v>0</v>
      </c>
      <c r="H26" s="455">
        <v>0</v>
      </c>
      <c r="I26" s="454">
        <f>E26*H26</f>
        <v>0</v>
      </c>
      <c r="J26" s="570"/>
      <c r="K26" s="571"/>
      <c r="O26" s="444">
        <v>2</v>
      </c>
      <c r="AA26" s="434">
        <v>1</v>
      </c>
      <c r="AB26" s="434">
        <v>7</v>
      </c>
      <c r="AC26" s="434">
        <v>7</v>
      </c>
      <c r="AZ26" s="434">
        <v>2</v>
      </c>
      <c r="BA26" s="434">
        <f>IF(AZ26=1,G26,0)</f>
        <v>0</v>
      </c>
      <c r="BB26" s="434">
        <f>IF(AZ26=2,G26,0)</f>
        <v>0</v>
      </c>
      <c r="BC26" s="434">
        <f>IF(AZ26=3,G26,0)</f>
        <v>0</v>
      </c>
      <c r="BD26" s="434">
        <f>IF(AZ26=4,G26,0)</f>
        <v>0</v>
      </c>
      <c r="BE26" s="434">
        <f>IF(AZ26=5,G26,0)</f>
        <v>0</v>
      </c>
      <c r="CA26" s="444">
        <v>1</v>
      </c>
      <c r="CB26" s="444">
        <v>7</v>
      </c>
    </row>
    <row r="27" spans="1:80" ht="12.75">
      <c r="A27" s="461">
        <v>10</v>
      </c>
      <c r="B27" s="460" t="s">
        <v>1616</v>
      </c>
      <c r="C27" s="459" t="s">
        <v>1617</v>
      </c>
      <c r="D27" s="458" t="s">
        <v>196</v>
      </c>
      <c r="E27" s="457">
        <v>23</v>
      </c>
      <c r="F27" s="457"/>
      <c r="G27" s="456">
        <f>E27*F27</f>
        <v>0</v>
      </c>
      <c r="H27" s="455">
        <v>0</v>
      </c>
      <c r="I27" s="454">
        <f>E27*H27</f>
        <v>0</v>
      </c>
      <c r="J27" s="570"/>
      <c r="K27" s="571"/>
      <c r="O27" s="444">
        <v>2</v>
      </c>
      <c r="AA27" s="434">
        <v>1</v>
      </c>
      <c r="AB27" s="434">
        <v>7</v>
      </c>
      <c r="AC27" s="434">
        <v>7</v>
      </c>
      <c r="AZ27" s="434">
        <v>2</v>
      </c>
      <c r="BA27" s="434">
        <f>IF(AZ27=1,G27,0)</f>
        <v>0</v>
      </c>
      <c r="BB27" s="434">
        <f>IF(AZ27=2,G27,0)</f>
        <v>0</v>
      </c>
      <c r="BC27" s="434">
        <f>IF(AZ27=3,G27,0)</f>
        <v>0</v>
      </c>
      <c r="BD27" s="434">
        <f>IF(AZ27=4,G27,0)</f>
        <v>0</v>
      </c>
      <c r="BE27" s="434">
        <f>IF(AZ27=5,G27,0)</f>
        <v>0</v>
      </c>
      <c r="CA27" s="444">
        <v>1</v>
      </c>
      <c r="CB27" s="444">
        <v>7</v>
      </c>
    </row>
    <row r="28" spans="1:15" ht="12.75">
      <c r="A28" s="478"/>
      <c r="B28" s="477"/>
      <c r="C28" s="1621" t="s">
        <v>1626</v>
      </c>
      <c r="D28" s="1589"/>
      <c r="E28" s="476">
        <v>23</v>
      </c>
      <c r="F28" s="475"/>
      <c r="G28" s="230"/>
      <c r="H28" s="474"/>
      <c r="I28" s="473"/>
      <c r="J28" s="568"/>
      <c r="K28" s="572"/>
      <c r="M28" s="472" t="s">
        <v>1626</v>
      </c>
      <c r="O28" s="444"/>
    </row>
    <row r="29" spans="1:80" ht="20.4">
      <c r="A29" s="461">
        <v>11</v>
      </c>
      <c r="B29" s="460" t="s">
        <v>1627</v>
      </c>
      <c r="C29" s="459" t="s">
        <v>1628</v>
      </c>
      <c r="D29" s="458" t="s">
        <v>196</v>
      </c>
      <c r="E29" s="457">
        <v>5</v>
      </c>
      <c r="F29" s="457"/>
      <c r="G29" s="456">
        <f>E29*F29</f>
        <v>0</v>
      </c>
      <c r="H29" s="455">
        <v>0.0031</v>
      </c>
      <c r="I29" s="454">
        <f>E29*H29</f>
        <v>0.0155</v>
      </c>
      <c r="J29" s="570"/>
      <c r="K29" s="571"/>
      <c r="O29" s="444">
        <v>2</v>
      </c>
      <c r="AA29" s="434">
        <v>3</v>
      </c>
      <c r="AB29" s="434">
        <v>7</v>
      </c>
      <c r="AC29" s="434">
        <v>55149032</v>
      </c>
      <c r="AZ29" s="434">
        <v>2</v>
      </c>
      <c r="BA29" s="434">
        <f>IF(AZ29=1,G29,0)</f>
        <v>0</v>
      </c>
      <c r="BB29" s="434">
        <f>IF(AZ29=2,G29,0)</f>
        <v>0</v>
      </c>
      <c r="BC29" s="434">
        <f>IF(AZ29=3,G29,0)</f>
        <v>0</v>
      </c>
      <c r="BD29" s="434">
        <f>IF(AZ29=4,G29,0)</f>
        <v>0</v>
      </c>
      <c r="BE29" s="434">
        <f>IF(AZ29=5,G29,0)</f>
        <v>0</v>
      </c>
      <c r="CA29" s="444">
        <v>3</v>
      </c>
      <c r="CB29" s="444">
        <v>7</v>
      </c>
    </row>
    <row r="30" spans="1:80" ht="12.75">
      <c r="A30" s="461">
        <v>12</v>
      </c>
      <c r="B30" s="460" t="s">
        <v>1618</v>
      </c>
      <c r="C30" s="459" t="s">
        <v>1619</v>
      </c>
      <c r="D30" s="458" t="s">
        <v>196</v>
      </c>
      <c r="E30" s="457">
        <v>23</v>
      </c>
      <c r="F30" s="457"/>
      <c r="G30" s="456">
        <f>E30*F30</f>
        <v>0</v>
      </c>
      <c r="H30" s="455">
        <v>0.056</v>
      </c>
      <c r="I30" s="454">
        <f>E30*H30</f>
        <v>1.288</v>
      </c>
      <c r="J30" s="570"/>
      <c r="K30" s="571"/>
      <c r="O30" s="444">
        <v>2</v>
      </c>
      <c r="AA30" s="434">
        <v>3</v>
      </c>
      <c r="AB30" s="434">
        <v>7</v>
      </c>
      <c r="AC30" s="434">
        <v>592891000</v>
      </c>
      <c r="AZ30" s="434">
        <v>2</v>
      </c>
      <c r="BA30" s="434">
        <f>IF(AZ30=1,G30,0)</f>
        <v>0</v>
      </c>
      <c r="BB30" s="434">
        <f>IF(AZ30=2,G30,0)</f>
        <v>0</v>
      </c>
      <c r="BC30" s="434">
        <f>IF(AZ30=3,G30,0)</f>
        <v>0</v>
      </c>
      <c r="BD30" s="434">
        <f>IF(AZ30=4,G30,0)</f>
        <v>0</v>
      </c>
      <c r="BE30" s="434">
        <f>IF(AZ30=5,G30,0)</f>
        <v>0</v>
      </c>
      <c r="CA30" s="444">
        <v>3</v>
      </c>
      <c r="CB30" s="444">
        <v>7</v>
      </c>
    </row>
    <row r="31" spans="1:15" ht="12.75">
      <c r="A31" s="478"/>
      <c r="B31" s="477"/>
      <c r="C31" s="1621" t="s">
        <v>1626</v>
      </c>
      <c r="D31" s="1589"/>
      <c r="E31" s="476">
        <v>23</v>
      </c>
      <c r="F31" s="475"/>
      <c r="G31" s="230"/>
      <c r="H31" s="474"/>
      <c r="I31" s="473"/>
      <c r="J31" s="568"/>
      <c r="K31" s="572"/>
      <c r="M31" s="472" t="s">
        <v>1626</v>
      </c>
      <c r="O31" s="444"/>
    </row>
    <row r="32" spans="1:80" ht="12.75">
      <c r="A32" s="461">
        <v>13</v>
      </c>
      <c r="B32" s="460" t="s">
        <v>263</v>
      </c>
      <c r="C32" s="459" t="s">
        <v>1405</v>
      </c>
      <c r="D32" s="458" t="s">
        <v>9</v>
      </c>
      <c r="E32" s="457"/>
      <c r="F32" s="457"/>
      <c r="G32" s="456">
        <f>E32*F32</f>
        <v>0</v>
      </c>
      <c r="H32" s="455">
        <v>0</v>
      </c>
      <c r="I32" s="454">
        <f>E32*H32</f>
        <v>0</v>
      </c>
      <c r="J32" s="570"/>
      <c r="K32" s="571"/>
      <c r="O32" s="444">
        <v>2</v>
      </c>
      <c r="AA32" s="434">
        <v>7</v>
      </c>
      <c r="AB32" s="434">
        <v>1002</v>
      </c>
      <c r="AC32" s="434">
        <v>5</v>
      </c>
      <c r="AZ32" s="434">
        <v>2</v>
      </c>
      <c r="BA32" s="434">
        <f>IF(AZ32=1,G32,0)</f>
        <v>0</v>
      </c>
      <c r="BB32" s="434">
        <f>IF(AZ32=2,G32,0)</f>
        <v>0</v>
      </c>
      <c r="BC32" s="434">
        <f>IF(AZ32=3,G32,0)</f>
        <v>0</v>
      </c>
      <c r="BD32" s="434">
        <f>IF(AZ32=4,G32,0)</f>
        <v>0</v>
      </c>
      <c r="BE32" s="434">
        <f>IF(AZ32=5,G32,0)</f>
        <v>0</v>
      </c>
      <c r="CA32" s="444">
        <v>7</v>
      </c>
      <c r="CB32" s="444">
        <v>1002</v>
      </c>
    </row>
    <row r="33" spans="1:57" ht="12.75">
      <c r="A33" s="453"/>
      <c r="B33" s="452" t="s">
        <v>175</v>
      </c>
      <c r="C33" s="451" t="s">
        <v>265</v>
      </c>
      <c r="D33" s="450"/>
      <c r="E33" s="449"/>
      <c r="F33" s="448"/>
      <c r="G33" s="447">
        <f>SUM(G24:G32)</f>
        <v>0</v>
      </c>
      <c r="H33" s="446"/>
      <c r="I33" s="445">
        <f>SUM(I24:I32)</f>
        <v>1.3035</v>
      </c>
      <c r="J33" s="568"/>
      <c r="K33" s="576"/>
      <c r="O33" s="444">
        <v>4</v>
      </c>
      <c r="BA33" s="443">
        <f>SUM(BA24:BA32)</f>
        <v>0</v>
      </c>
      <c r="BB33" s="443">
        <f>SUM(BB24:BB32)</f>
        <v>0</v>
      </c>
      <c r="BC33" s="443">
        <f>SUM(BC24:BC32)</f>
        <v>0</v>
      </c>
      <c r="BD33" s="443">
        <f>SUM(BD24:BD32)</f>
        <v>0</v>
      </c>
      <c r="BE33" s="443">
        <f>SUM(BE24:BE32)</f>
        <v>0</v>
      </c>
    </row>
    <row r="34" spans="5:11" ht="12.75">
      <c r="E34" s="434"/>
      <c r="J34" s="436"/>
      <c r="K34" s="436"/>
    </row>
    <row r="35" ht="12.75">
      <c r="E35" s="434"/>
    </row>
    <row r="36" ht="12.75">
      <c r="E36" s="434"/>
    </row>
    <row r="37" ht="12.75">
      <c r="E37" s="434"/>
    </row>
    <row r="38" ht="12.75">
      <c r="E38" s="434"/>
    </row>
    <row r="39" ht="12.75">
      <c r="E39" s="434"/>
    </row>
    <row r="40" ht="12.75">
      <c r="E40" s="434"/>
    </row>
    <row r="41" ht="12.75">
      <c r="E41" s="434"/>
    </row>
    <row r="42" ht="12.75">
      <c r="E42" s="434"/>
    </row>
    <row r="43" ht="12.75">
      <c r="E43" s="434"/>
    </row>
    <row r="44" ht="12.75">
      <c r="E44" s="434"/>
    </row>
    <row r="45" ht="12.75">
      <c r="E45" s="434"/>
    </row>
    <row r="46" ht="12.75">
      <c r="E46" s="434"/>
    </row>
    <row r="47" ht="12.75">
      <c r="E47" s="434"/>
    </row>
    <row r="48" ht="12.75">
      <c r="E48" s="434"/>
    </row>
    <row r="49" ht="12.75">
      <c r="E49" s="434"/>
    </row>
    <row r="50" ht="12.75">
      <c r="E50" s="434"/>
    </row>
    <row r="51" ht="12.75">
      <c r="E51" s="434"/>
    </row>
    <row r="52" ht="12.75">
      <c r="E52" s="434"/>
    </row>
    <row r="53" ht="12.75">
      <c r="E53" s="434"/>
    </row>
    <row r="54" ht="12.75">
      <c r="E54" s="434"/>
    </row>
    <row r="55" ht="12.75">
      <c r="E55" s="434"/>
    </row>
    <row r="56" ht="12.75">
      <c r="E56" s="434"/>
    </row>
    <row r="57" spans="1:7" ht="12.75">
      <c r="A57" s="436"/>
      <c r="B57" s="436"/>
      <c r="C57" s="436"/>
      <c r="D57" s="436"/>
      <c r="E57" s="436"/>
      <c r="F57" s="436"/>
      <c r="G57" s="436"/>
    </row>
    <row r="58" spans="1:7" ht="12.75">
      <c r="A58" s="436"/>
      <c r="B58" s="436"/>
      <c r="C58" s="436"/>
      <c r="D58" s="436"/>
      <c r="E58" s="436"/>
      <c r="F58" s="436"/>
      <c r="G58" s="436"/>
    </row>
    <row r="59" spans="1:7" ht="12.75">
      <c r="A59" s="436"/>
      <c r="B59" s="436"/>
      <c r="C59" s="436"/>
      <c r="D59" s="436"/>
      <c r="E59" s="436"/>
      <c r="F59" s="436"/>
      <c r="G59" s="436"/>
    </row>
    <row r="60" spans="1:7" ht="12.75">
      <c r="A60" s="436"/>
      <c r="B60" s="436"/>
      <c r="C60" s="436"/>
      <c r="D60" s="436"/>
      <c r="E60" s="436"/>
      <c r="F60" s="436"/>
      <c r="G60" s="436"/>
    </row>
    <row r="61" ht="12.75">
      <c r="E61" s="434"/>
    </row>
    <row r="62" ht="12.75">
      <c r="E62" s="434"/>
    </row>
    <row r="63" ht="12.75">
      <c r="E63" s="434"/>
    </row>
    <row r="64" ht="12.75">
      <c r="E64" s="434"/>
    </row>
    <row r="65" ht="12.75">
      <c r="E65" s="434"/>
    </row>
    <row r="66" ht="12.75">
      <c r="E66" s="434"/>
    </row>
    <row r="67" ht="12.75">
      <c r="E67" s="434"/>
    </row>
    <row r="68" ht="12.75">
      <c r="E68" s="434"/>
    </row>
    <row r="69" ht="12.75">
      <c r="E69" s="434"/>
    </row>
    <row r="70" ht="12.75">
      <c r="E70" s="434"/>
    </row>
    <row r="71" ht="12.75">
      <c r="E71" s="434"/>
    </row>
    <row r="72" ht="12.75">
      <c r="E72" s="434"/>
    </row>
    <row r="73" ht="12.75">
      <c r="E73" s="434"/>
    </row>
    <row r="74" ht="12.75">
      <c r="E74" s="434"/>
    </row>
    <row r="75" ht="12.75">
      <c r="E75" s="434"/>
    </row>
    <row r="76" ht="12.75">
      <c r="E76" s="434"/>
    </row>
    <row r="77" ht="12.75">
      <c r="E77" s="434"/>
    </row>
    <row r="78" ht="12.75">
      <c r="E78" s="434"/>
    </row>
    <row r="79" ht="12.75">
      <c r="E79" s="434"/>
    </row>
    <row r="80" ht="12.75">
      <c r="E80" s="434"/>
    </row>
    <row r="81" ht="12.75">
      <c r="E81" s="434"/>
    </row>
    <row r="82" ht="12.75">
      <c r="E82" s="434"/>
    </row>
    <row r="83" ht="12.75">
      <c r="E83" s="434"/>
    </row>
    <row r="84" ht="12.75">
      <c r="E84" s="434"/>
    </row>
    <row r="85" ht="12.75">
      <c r="E85" s="434"/>
    </row>
    <row r="86" ht="12.75">
      <c r="E86" s="434"/>
    </row>
    <row r="87" ht="12.75">
      <c r="E87" s="434"/>
    </row>
    <row r="88" ht="12.75">
      <c r="E88" s="434"/>
    </row>
    <row r="89" ht="12.75">
      <c r="E89" s="434"/>
    </row>
    <row r="90" ht="12.75">
      <c r="E90" s="434"/>
    </row>
    <row r="91" ht="12.75">
      <c r="E91" s="434"/>
    </row>
    <row r="92" spans="1:2" ht="12.75">
      <c r="A92" s="442"/>
      <c r="B92" s="442"/>
    </row>
    <row r="93" spans="1:7" ht="12.75">
      <c r="A93" s="436"/>
      <c r="B93" s="436"/>
      <c r="C93" s="440"/>
      <c r="D93" s="440"/>
      <c r="E93" s="441"/>
      <c r="F93" s="440"/>
      <c r="G93" s="439"/>
    </row>
    <row r="94" spans="1:7" ht="12.75">
      <c r="A94" s="438"/>
      <c r="B94" s="438"/>
      <c r="C94" s="436"/>
      <c r="D94" s="436"/>
      <c r="E94" s="437"/>
      <c r="F94" s="436"/>
      <c r="G94" s="436"/>
    </row>
    <row r="95" spans="1:7" ht="12.75">
      <c r="A95" s="436"/>
      <c r="B95" s="436"/>
      <c r="C95" s="436"/>
      <c r="D95" s="436"/>
      <c r="E95" s="437"/>
      <c r="F95" s="436"/>
      <c r="G95" s="436"/>
    </row>
    <row r="96" spans="1:7" ht="12.75">
      <c r="A96" s="436"/>
      <c r="B96" s="436"/>
      <c r="C96" s="436"/>
      <c r="D96" s="436"/>
      <c r="E96" s="437"/>
      <c r="F96" s="436"/>
      <c r="G96" s="436"/>
    </row>
    <row r="97" spans="1:7" ht="12.75">
      <c r="A97" s="436"/>
      <c r="B97" s="436"/>
      <c r="C97" s="436"/>
      <c r="D97" s="436"/>
      <c r="E97" s="437"/>
      <c r="F97" s="436"/>
      <c r="G97" s="436"/>
    </row>
    <row r="98" spans="1:7" ht="12.75">
      <c r="A98" s="436"/>
      <c r="B98" s="436"/>
      <c r="C98" s="436"/>
      <c r="D98" s="436"/>
      <c r="E98" s="437"/>
      <c r="F98" s="436"/>
      <c r="G98" s="436"/>
    </row>
    <row r="99" spans="1:7" ht="12.75">
      <c r="A99" s="436"/>
      <c r="B99" s="436"/>
      <c r="C99" s="436"/>
      <c r="D99" s="436"/>
      <c r="E99" s="437"/>
      <c r="F99" s="436"/>
      <c r="G99" s="436"/>
    </row>
    <row r="100" spans="1:7" ht="12.75">
      <c r="A100" s="436"/>
      <c r="B100" s="436"/>
      <c r="C100" s="436"/>
      <c r="D100" s="436"/>
      <c r="E100" s="437"/>
      <c r="F100" s="436"/>
      <c r="G100" s="436"/>
    </row>
    <row r="101" spans="1:7" ht="12.75">
      <c r="A101" s="436"/>
      <c r="B101" s="436"/>
      <c r="C101" s="436"/>
      <c r="D101" s="436"/>
      <c r="E101" s="437"/>
      <c r="F101" s="436"/>
      <c r="G101" s="436"/>
    </row>
    <row r="102" spans="1:7" ht="12.75">
      <c r="A102" s="436"/>
      <c r="B102" s="436"/>
      <c r="C102" s="436"/>
      <c r="D102" s="436"/>
      <c r="E102" s="437"/>
      <c r="F102" s="436"/>
      <c r="G102" s="436"/>
    </row>
    <row r="103" spans="1:7" ht="12.75">
      <c r="A103" s="436"/>
      <c r="B103" s="436"/>
      <c r="C103" s="436"/>
      <c r="D103" s="436"/>
      <c r="E103" s="437"/>
      <c r="F103" s="436"/>
      <c r="G103" s="436"/>
    </row>
    <row r="104" spans="1:7" ht="12.75">
      <c r="A104" s="436"/>
      <c r="B104" s="436"/>
      <c r="C104" s="436"/>
      <c r="D104" s="436"/>
      <c r="E104" s="437"/>
      <c r="F104" s="436"/>
      <c r="G104" s="436"/>
    </row>
    <row r="105" spans="1:7" ht="12.75">
      <c r="A105" s="436"/>
      <c r="B105" s="436"/>
      <c r="C105" s="436"/>
      <c r="D105" s="436"/>
      <c r="E105" s="437"/>
      <c r="F105" s="436"/>
      <c r="G105" s="436"/>
    </row>
    <row r="106" spans="1:7" ht="12.75">
      <c r="A106" s="436"/>
      <c r="B106" s="436"/>
      <c r="C106" s="436"/>
      <c r="D106" s="436"/>
      <c r="E106" s="437"/>
      <c r="F106" s="436"/>
      <c r="G106" s="436"/>
    </row>
  </sheetData>
  <mergeCells count="10">
    <mergeCell ref="C18:D18"/>
    <mergeCell ref="C19:D19"/>
    <mergeCell ref="C28:D28"/>
    <mergeCell ref="C31:D31"/>
    <mergeCell ref="A1:G1"/>
    <mergeCell ref="A3:B3"/>
    <mergeCell ref="A4:B4"/>
    <mergeCell ref="E4:G4"/>
    <mergeCell ref="C9:D9"/>
    <mergeCell ref="C10:D10"/>
  </mergeCells>
  <printOptions horizontalCentered="1"/>
  <pageMargins left="0.5905511811023623" right="0.3937007874015748" top="0.5905511811023623" bottom="0.984251968503937" header="0.1968503937007874" footer="0.5118110236220472"/>
  <pageSetup fitToHeight="1" fitToWidth="1" horizontalDpi="300" verticalDpi="300" orientation="portrait" paperSize="9" scale="80" r:id="rId1"/>
  <headerFooter alignWithMargins="0">
    <oddFooter>&amp;L&amp;9Zpracováno programem &amp;"Arial CE,Tučné"BUILDpower,  © RTS, a.s.&amp;R&amp;"Arial,Obyčejné"Strana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E55"/>
  <sheetViews>
    <sheetView workbookViewId="0" topLeftCell="A1">
      <selection activeCell="F34" sqref="F34:G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89" t="s">
        <v>126</v>
      </c>
      <c r="B1" s="188"/>
      <c r="C1" s="188"/>
      <c r="D1" s="188"/>
      <c r="E1" s="188"/>
      <c r="F1" s="188"/>
      <c r="G1" s="188"/>
    </row>
    <row r="2" spans="1:7" ht="12.75" customHeight="1">
      <c r="A2" s="187" t="s">
        <v>125</v>
      </c>
      <c r="B2" s="186"/>
      <c r="C2" s="185">
        <f>'z05R'!H1</f>
        <v>0</v>
      </c>
      <c r="D2" s="185">
        <f>'z05R'!G2</f>
        <v>0</v>
      </c>
      <c r="E2" s="184"/>
      <c r="F2" s="183" t="s">
        <v>124</v>
      </c>
      <c r="G2" s="182"/>
    </row>
    <row r="3" spans="1:7" ht="3" customHeight="1" hidden="1">
      <c r="A3" s="133"/>
      <c r="B3" s="151"/>
      <c r="C3" s="174"/>
      <c r="D3" s="174"/>
      <c r="E3" s="173"/>
      <c r="F3" s="155"/>
      <c r="G3" s="176"/>
    </row>
    <row r="4" spans="1:7" ht="12" customHeight="1">
      <c r="A4" s="175" t="s">
        <v>123</v>
      </c>
      <c r="B4" s="151"/>
      <c r="C4" s="174" t="s">
        <v>280</v>
      </c>
      <c r="D4" s="174"/>
      <c r="E4" s="173"/>
      <c r="F4" s="155" t="s">
        <v>122</v>
      </c>
      <c r="G4" s="181"/>
    </row>
    <row r="5" spans="1:7" ht="12.9" customHeight="1">
      <c r="A5" s="180" t="s">
        <v>32</v>
      </c>
      <c r="B5" s="177"/>
      <c r="C5" s="179" t="s">
        <v>1598</v>
      </c>
      <c r="D5" s="178"/>
      <c r="E5" s="177"/>
      <c r="F5" s="155" t="s">
        <v>121</v>
      </c>
      <c r="G5" s="176"/>
    </row>
    <row r="6" spans="1:15" ht="12.9" customHeight="1">
      <c r="A6" s="175" t="s">
        <v>120</v>
      </c>
      <c r="B6" s="151"/>
      <c r="C6" s="174" t="s">
        <v>281</v>
      </c>
      <c r="D6" s="174"/>
      <c r="E6" s="173"/>
      <c r="F6" s="172" t="s">
        <v>119</v>
      </c>
      <c r="G6" s="165">
        <v>0</v>
      </c>
      <c r="O6" s="253"/>
    </row>
    <row r="7" spans="1:7" ht="12.9" customHeight="1">
      <c r="A7" s="170" t="s">
        <v>12</v>
      </c>
      <c r="B7" s="169"/>
      <c r="C7" s="168" t="s">
        <v>13</v>
      </c>
      <c r="D7" s="167"/>
      <c r="E7" s="167"/>
      <c r="F7" s="166" t="s">
        <v>118</v>
      </c>
      <c r="G7" s="165">
        <f>IF(ahjl=0,,ROUND((F30+F32)/ahjl,1))</f>
        <v>0</v>
      </c>
    </row>
    <row r="8" spans="1:9" ht="12.75">
      <c r="A8" s="156" t="s">
        <v>117</v>
      </c>
      <c r="B8" s="155"/>
      <c r="C8" s="1570"/>
      <c r="D8" s="1570"/>
      <c r="E8" s="1571"/>
      <c r="F8" s="164" t="s">
        <v>116</v>
      </c>
      <c r="G8" s="163"/>
      <c r="H8" s="254"/>
      <c r="I8" s="255"/>
    </row>
    <row r="9" spans="1:8" ht="12.75">
      <c r="A9" s="156" t="s">
        <v>115</v>
      </c>
      <c r="B9" s="155"/>
      <c r="C9" s="1570">
        <f>asdfggbh</f>
        <v>0</v>
      </c>
      <c r="D9" s="1570"/>
      <c r="E9" s="1571"/>
      <c r="F9" s="155"/>
      <c r="G9" s="160"/>
      <c r="H9" s="256"/>
    </row>
    <row r="10" spans="1:8" ht="12.75">
      <c r="A10" s="156" t="s">
        <v>114</v>
      </c>
      <c r="B10" s="155"/>
      <c r="C10" s="1570"/>
      <c r="D10" s="1570"/>
      <c r="E10" s="1570"/>
      <c r="F10" s="159"/>
      <c r="G10" s="158"/>
      <c r="H10" s="257"/>
    </row>
    <row r="11" spans="1:57" ht="13.5" customHeight="1">
      <c r="A11" s="156" t="s">
        <v>113</v>
      </c>
      <c r="B11" s="155"/>
      <c r="C11" s="1570"/>
      <c r="D11" s="1570"/>
      <c r="E11" s="1570"/>
      <c r="F11" s="154" t="s">
        <v>112</v>
      </c>
      <c r="G11" s="153"/>
      <c r="H11" s="256"/>
      <c r="BA11" s="258"/>
      <c r="BB11" s="258"/>
      <c r="BC11" s="258"/>
      <c r="BD11" s="258"/>
      <c r="BE11" s="258"/>
    </row>
    <row r="12" spans="1:8" ht="12.75" customHeight="1">
      <c r="A12" s="152" t="s">
        <v>111</v>
      </c>
      <c r="B12" s="151"/>
      <c r="C12" s="1572"/>
      <c r="D12" s="1572"/>
      <c r="E12" s="1572"/>
      <c r="F12" s="150" t="s">
        <v>110</v>
      </c>
      <c r="G12" s="149"/>
      <c r="H12" s="256"/>
    </row>
    <row r="13" spans="1:8" ht="28.5" customHeight="1" thickBot="1">
      <c r="A13" s="148" t="s">
        <v>109</v>
      </c>
      <c r="B13" s="147"/>
      <c r="C13" s="147"/>
      <c r="D13" s="147"/>
      <c r="E13" s="146"/>
      <c r="F13" s="146"/>
      <c r="G13" s="145"/>
      <c r="H13" s="256"/>
    </row>
    <row r="14" spans="1:7" ht="17.25" customHeight="1" thickBot="1">
      <c r="A14" s="144" t="s">
        <v>108</v>
      </c>
      <c r="B14" s="143"/>
      <c r="C14" s="140"/>
      <c r="D14" s="142" t="s">
        <v>107</v>
      </c>
      <c r="E14" s="141"/>
      <c r="F14" s="141"/>
      <c r="G14" s="140"/>
    </row>
    <row r="15" spans="1:7" ht="15.9" customHeight="1">
      <c r="A15" s="136"/>
      <c r="B15" s="62" t="s">
        <v>106</v>
      </c>
      <c r="C15" s="127">
        <f>asdfghjkj</f>
        <v>0</v>
      </c>
      <c r="D15" s="139" t="str">
        <f>'z05R'!A16</f>
        <v>Ztížené výrobní podmínky</v>
      </c>
      <c r="E15" s="138"/>
      <c r="F15" s="137"/>
      <c r="G15" s="127">
        <f>'z05R'!I16</f>
        <v>0</v>
      </c>
    </row>
    <row r="16" spans="1:7" ht="15.9" customHeight="1">
      <c r="A16" s="136" t="s">
        <v>105</v>
      </c>
      <c r="B16" s="62" t="s">
        <v>104</v>
      </c>
      <c r="C16" s="127">
        <f>asdfgt</f>
        <v>0</v>
      </c>
      <c r="D16" s="133" t="str">
        <f>'z05R'!A17</f>
        <v>Oborová přirážka</v>
      </c>
      <c r="E16" s="132"/>
      <c r="F16" s="108"/>
      <c r="G16" s="127">
        <f>'z05R'!I17</f>
        <v>0</v>
      </c>
    </row>
    <row r="17" spans="1:7" ht="15.9" customHeight="1">
      <c r="A17" s="136" t="s">
        <v>103</v>
      </c>
      <c r="B17" s="62" t="s">
        <v>102</v>
      </c>
      <c r="C17" s="127">
        <f>aqswd</f>
        <v>0</v>
      </c>
      <c r="D17" s="133" t="str">
        <f>'z05R'!A18</f>
        <v>Přesun stavebních kapacit</v>
      </c>
      <c r="E17" s="132"/>
      <c r="F17" s="108"/>
      <c r="G17" s="127">
        <f>'z05R'!I18</f>
        <v>0</v>
      </c>
    </row>
    <row r="18" spans="1:7" ht="15.9" customHeight="1">
      <c r="A18" s="135" t="s">
        <v>101</v>
      </c>
      <c r="B18" s="134" t="s">
        <v>100</v>
      </c>
      <c r="C18" s="127">
        <f>aqswdefr</f>
        <v>0</v>
      </c>
      <c r="D18" s="133" t="str">
        <f>'z05R'!A19</f>
        <v>Mimostaveništní doprava</v>
      </c>
      <c r="E18" s="132"/>
      <c r="F18" s="108"/>
      <c r="G18" s="127">
        <f>'z05R'!I19</f>
        <v>0</v>
      </c>
    </row>
    <row r="19" spans="1:7" ht="15.9" customHeight="1">
      <c r="A19" s="63" t="s">
        <v>99</v>
      </c>
      <c r="B19" s="62"/>
      <c r="C19" s="127">
        <f>SUM(C15:C18)</f>
        <v>0</v>
      </c>
      <c r="D19" s="133" t="str">
        <f>'z05R'!A20</f>
        <v>Zařízení staveniště</v>
      </c>
      <c r="E19" s="132"/>
      <c r="F19" s="108"/>
      <c r="G19" s="127">
        <f>'z05R'!I20</f>
        <v>0</v>
      </c>
    </row>
    <row r="20" spans="1:7" ht="15.9" customHeight="1">
      <c r="A20" s="63"/>
      <c r="B20" s="62"/>
      <c r="C20" s="127"/>
      <c r="D20" s="133" t="str">
        <f>'z05R'!A21</f>
        <v>Provoz investora</v>
      </c>
      <c r="E20" s="132"/>
      <c r="F20" s="108"/>
      <c r="G20" s="127">
        <f>'z05R'!I21</f>
        <v>0</v>
      </c>
    </row>
    <row r="21" spans="1:7" ht="15.9" customHeight="1">
      <c r="A21" s="63" t="s">
        <v>70</v>
      </c>
      <c r="B21" s="62"/>
      <c r="C21" s="127">
        <f>asdfer</f>
        <v>0</v>
      </c>
      <c r="D21" s="133" t="str">
        <f>'z05R'!A22</f>
        <v>Kompletační činnost (IČD)</v>
      </c>
      <c r="E21" s="132"/>
      <c r="F21" s="108"/>
      <c r="G21" s="127">
        <f>'z05R'!I22</f>
        <v>0</v>
      </c>
    </row>
    <row r="22" spans="1:7" ht="15.9" customHeight="1">
      <c r="A22" s="118" t="s">
        <v>98</v>
      </c>
      <c r="B22" s="74"/>
      <c r="C22" s="127">
        <f>C19+C21</f>
        <v>0</v>
      </c>
      <c r="D22" s="133" t="s">
        <v>97</v>
      </c>
      <c r="E22" s="132"/>
      <c r="F22" s="108"/>
      <c r="G22" s="127">
        <f>G23-SUM(G15:G21)</f>
        <v>0</v>
      </c>
    </row>
    <row r="23" spans="1:7" ht="15.9" customHeight="1" thickBot="1">
      <c r="A23" s="1568" t="s">
        <v>96</v>
      </c>
      <c r="B23" s="1569"/>
      <c r="C23" s="131">
        <f>C22+G23</f>
        <v>0</v>
      </c>
      <c r="D23" s="130" t="s">
        <v>95</v>
      </c>
      <c r="E23" s="129"/>
      <c r="F23" s="128"/>
      <c r="G23" s="127">
        <f>ayxsedc</f>
        <v>0</v>
      </c>
    </row>
    <row r="24" spans="1:7" ht="12.75">
      <c r="A24" s="71" t="s">
        <v>94</v>
      </c>
      <c r="B24" s="70"/>
      <c r="C24" s="126"/>
      <c r="D24" s="70" t="s">
        <v>93</v>
      </c>
      <c r="E24" s="70"/>
      <c r="F24" s="125" t="s">
        <v>92</v>
      </c>
      <c r="G24" s="124"/>
    </row>
    <row r="25" spans="1:7" ht="12.75">
      <c r="A25" s="118" t="s">
        <v>91</v>
      </c>
      <c r="B25" s="74"/>
      <c r="C25" s="120"/>
      <c r="D25" s="74" t="s">
        <v>91</v>
      </c>
      <c r="E25" s="1"/>
      <c r="F25" s="121" t="s">
        <v>91</v>
      </c>
      <c r="G25" s="115"/>
    </row>
    <row r="26" spans="1:7" ht="37.5" customHeight="1">
      <c r="A26" s="118" t="s">
        <v>90</v>
      </c>
      <c r="B26" s="123"/>
      <c r="C26" s="120"/>
      <c r="D26" s="74" t="s">
        <v>90</v>
      </c>
      <c r="E26" s="1"/>
      <c r="F26" s="121" t="s">
        <v>90</v>
      </c>
      <c r="G26" s="115"/>
    </row>
    <row r="27" spans="1:7" ht="12.75">
      <c r="A27" s="118"/>
      <c r="B27" s="122"/>
      <c r="C27" s="120"/>
      <c r="D27" s="74"/>
      <c r="E27" s="1"/>
      <c r="F27" s="121"/>
      <c r="G27" s="115"/>
    </row>
    <row r="28" spans="1:7" ht="12.75">
      <c r="A28" s="118" t="s">
        <v>89</v>
      </c>
      <c r="B28" s="74"/>
      <c r="C28" s="120"/>
      <c r="D28" s="121" t="s">
        <v>88</v>
      </c>
      <c r="E28" s="120"/>
      <c r="F28" s="119" t="s">
        <v>88</v>
      </c>
      <c r="G28" s="115"/>
    </row>
    <row r="29" spans="1:7" ht="69" customHeight="1">
      <c r="A29" s="118"/>
      <c r="B29" s="74"/>
      <c r="C29" s="116"/>
      <c r="D29" s="117"/>
      <c r="E29" s="116"/>
      <c r="F29" s="74"/>
      <c r="G29" s="115"/>
    </row>
    <row r="30" spans="1:7" ht="12.75">
      <c r="A30" s="112" t="s">
        <v>8</v>
      </c>
      <c r="B30" s="109"/>
      <c r="C30" s="1349">
        <v>21</v>
      </c>
      <c r="D30" s="1350" t="s">
        <v>87</v>
      </c>
      <c r="E30" s="1351"/>
      <c r="F30" s="1637">
        <f>C23-F32</f>
        <v>0</v>
      </c>
      <c r="G30" s="1638"/>
    </row>
    <row r="31" spans="1:7" ht="12.75">
      <c r="A31" s="112" t="s">
        <v>86</v>
      </c>
      <c r="B31" s="109"/>
      <c r="C31" s="1349">
        <f>aqwsxedr</f>
        <v>21</v>
      </c>
      <c r="D31" s="1350" t="s">
        <v>85</v>
      </c>
      <c r="E31" s="1351"/>
      <c r="F31" s="1637">
        <f>ROUND(PRODUCT(F30,C31/100),0)</f>
        <v>0</v>
      </c>
      <c r="G31" s="1638"/>
    </row>
    <row r="32" spans="1:7" ht="12.75">
      <c r="A32" s="112" t="s">
        <v>8</v>
      </c>
      <c r="B32" s="109"/>
      <c r="C32" s="1349">
        <v>0</v>
      </c>
      <c r="D32" s="1350" t="s">
        <v>85</v>
      </c>
      <c r="E32" s="1351"/>
      <c r="F32" s="1637">
        <v>0</v>
      </c>
      <c r="G32" s="1638"/>
    </row>
    <row r="33" spans="1:7" ht="12.75">
      <c r="A33" s="112" t="s">
        <v>86</v>
      </c>
      <c r="B33" s="111"/>
      <c r="C33" s="1352">
        <f>yxcvfrd</f>
        <v>0</v>
      </c>
      <c r="D33" s="1350" t="s">
        <v>85</v>
      </c>
      <c r="E33" s="1353"/>
      <c r="F33" s="1637">
        <f>ROUND(PRODUCT(F32,C33/100),0)</f>
        <v>0</v>
      </c>
      <c r="G33" s="1638"/>
    </row>
    <row r="34" spans="1:7" s="259" customFormat="1" ht="19.5" customHeight="1" thickBot="1">
      <c r="A34" s="107" t="s">
        <v>84</v>
      </c>
      <c r="B34" s="106"/>
      <c r="C34" s="106"/>
      <c r="D34" s="106"/>
      <c r="E34" s="105"/>
      <c r="F34" s="1576"/>
      <c r="G34" s="1577"/>
    </row>
    <row r="36" spans="1:8" ht="12.75">
      <c r="A36" s="260" t="s">
        <v>83</v>
      </c>
      <c r="B36" s="260"/>
      <c r="C36" s="1305" t="s">
        <v>2728</v>
      </c>
      <c r="D36" s="260"/>
      <c r="E36" s="260"/>
      <c r="F36" s="260"/>
      <c r="G36" s="260"/>
      <c r="H36" t="s">
        <v>1</v>
      </c>
    </row>
    <row r="37" spans="1:8" ht="14.25" customHeight="1">
      <c r="A37" s="260"/>
      <c r="B37" s="1599"/>
      <c r="C37" s="1599"/>
      <c r="D37" s="1599"/>
      <c r="E37" s="1599"/>
      <c r="F37" s="1599"/>
      <c r="G37" s="1599"/>
      <c r="H37" t="s">
        <v>1</v>
      </c>
    </row>
    <row r="38" spans="1:8" ht="12.75" customHeight="1">
      <c r="A38" s="261"/>
      <c r="B38" s="1599"/>
      <c r="C38" s="1599"/>
      <c r="D38" s="1599"/>
      <c r="E38" s="1599"/>
      <c r="F38" s="1599"/>
      <c r="G38" s="1599"/>
      <c r="H38" t="s">
        <v>1</v>
      </c>
    </row>
    <row r="39" spans="1:8" ht="12.75">
      <c r="A39" s="261"/>
      <c r="B39" s="1599"/>
      <c r="C39" s="1599"/>
      <c r="D39" s="1599"/>
      <c r="E39" s="1599"/>
      <c r="F39" s="1599"/>
      <c r="G39" s="1599"/>
      <c r="H39" t="s">
        <v>1</v>
      </c>
    </row>
    <row r="40" spans="1:8" ht="12.75">
      <c r="A40" s="261"/>
      <c r="B40" s="1599"/>
      <c r="C40" s="1599"/>
      <c r="D40" s="1599"/>
      <c r="E40" s="1599"/>
      <c r="F40" s="1599"/>
      <c r="G40" s="1599"/>
      <c r="H40" t="s">
        <v>1</v>
      </c>
    </row>
    <row r="41" spans="1:8" ht="12.75">
      <c r="A41" s="261"/>
      <c r="B41" s="1599"/>
      <c r="C41" s="1599"/>
      <c r="D41" s="1599"/>
      <c r="E41" s="1599"/>
      <c r="F41" s="1599"/>
      <c r="G41" s="1599"/>
      <c r="H41" t="s">
        <v>1</v>
      </c>
    </row>
    <row r="42" spans="1:8" ht="12.75">
      <c r="A42" s="261"/>
      <c r="B42" s="1599"/>
      <c r="C42" s="1599"/>
      <c r="D42" s="1599"/>
      <c r="E42" s="1599"/>
      <c r="F42" s="1599"/>
      <c r="G42" s="1599"/>
      <c r="H42" t="s">
        <v>1</v>
      </c>
    </row>
    <row r="43" spans="1:8" ht="12.75">
      <c r="A43" s="261"/>
      <c r="B43" s="1599"/>
      <c r="C43" s="1599"/>
      <c r="D43" s="1599"/>
      <c r="E43" s="1599"/>
      <c r="F43" s="1599"/>
      <c r="G43" s="1599"/>
      <c r="H43" t="s">
        <v>1</v>
      </c>
    </row>
    <row r="44" spans="1:8" ht="12.75">
      <c r="A44" s="261"/>
      <c r="B44" s="1599"/>
      <c r="C44" s="1599"/>
      <c r="D44" s="1599"/>
      <c r="E44" s="1599"/>
      <c r="F44" s="1599"/>
      <c r="G44" s="1599"/>
      <c r="H44" t="s">
        <v>1</v>
      </c>
    </row>
    <row r="45" spans="1:8" ht="0.75" customHeight="1">
      <c r="A45" s="261"/>
      <c r="B45" s="1599"/>
      <c r="C45" s="1599"/>
      <c r="D45" s="1599"/>
      <c r="E45" s="1599"/>
      <c r="F45" s="1599"/>
      <c r="G45" s="1599"/>
      <c r="H45" t="s">
        <v>1</v>
      </c>
    </row>
    <row r="46" spans="2:7" ht="12.75">
      <c r="B46" s="1600"/>
      <c r="C46" s="1600"/>
      <c r="D46" s="1600"/>
      <c r="E46" s="1600"/>
      <c r="F46" s="1600"/>
      <c r="G46" s="1600"/>
    </row>
    <row r="47" spans="2:7" ht="12.75">
      <c r="B47" s="1600"/>
      <c r="C47" s="1600"/>
      <c r="D47" s="1600"/>
      <c r="E47" s="1600"/>
      <c r="F47" s="1600"/>
      <c r="G47" s="1600"/>
    </row>
    <row r="48" spans="2:7" ht="12.75">
      <c r="B48" s="1600"/>
      <c r="C48" s="1600"/>
      <c r="D48" s="1600"/>
      <c r="E48" s="1600"/>
      <c r="F48" s="1600"/>
      <c r="G48" s="1600"/>
    </row>
    <row r="49" spans="2:7" ht="12.75">
      <c r="B49" s="1600"/>
      <c r="C49" s="1600"/>
      <c r="D49" s="1600"/>
      <c r="E49" s="1600"/>
      <c r="F49" s="1600"/>
      <c r="G49" s="1600"/>
    </row>
    <row r="50" spans="2:7" ht="12.75">
      <c r="B50" s="1600"/>
      <c r="C50" s="1600"/>
      <c r="D50" s="1600"/>
      <c r="E50" s="1600"/>
      <c r="F50" s="1600"/>
      <c r="G50" s="1600"/>
    </row>
    <row r="51" spans="2:7" ht="12.75">
      <c r="B51" s="1600"/>
      <c r="C51" s="1600"/>
      <c r="D51" s="1600"/>
      <c r="E51" s="1600"/>
      <c r="F51" s="1600"/>
      <c r="G51" s="1600"/>
    </row>
    <row r="52" spans="2:7" ht="12.75">
      <c r="B52" s="1600"/>
      <c r="C52" s="1600"/>
      <c r="D52" s="1600"/>
      <c r="E52" s="1600"/>
      <c r="F52" s="1600"/>
      <c r="G52" s="1600"/>
    </row>
    <row r="53" spans="2:7" ht="12.75">
      <c r="B53" s="1600"/>
      <c r="C53" s="1600"/>
      <c r="D53" s="1600"/>
      <c r="E53" s="1600"/>
      <c r="F53" s="1600"/>
      <c r="G53" s="1600"/>
    </row>
    <row r="54" spans="2:7" ht="12.75">
      <c r="B54" s="1600"/>
      <c r="C54" s="1600"/>
      <c r="D54" s="1600"/>
      <c r="E54" s="1600"/>
      <c r="F54" s="1600"/>
      <c r="G54" s="1600"/>
    </row>
    <row r="55" spans="2:7" ht="12.75">
      <c r="B55" s="1600"/>
      <c r="C55" s="1600"/>
      <c r="D55" s="1600"/>
      <c r="E55" s="1600"/>
      <c r="F55" s="1600"/>
      <c r="G55" s="160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E75"/>
  <sheetViews>
    <sheetView workbookViewId="0" topLeftCell="A1">
      <selection activeCell="G32" sqref="G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579" t="s">
        <v>2</v>
      </c>
      <c r="B1" s="1580"/>
      <c r="C1" s="102" t="str">
        <f>CONCATENATE(hnz," ",huk)</f>
        <v>2013/88 Lednice zahrady</v>
      </c>
      <c r="D1" s="100"/>
      <c r="E1" s="101"/>
      <c r="F1" s="100"/>
      <c r="G1" s="99" t="s">
        <v>81</v>
      </c>
      <c r="H1" s="98"/>
      <c r="I1" s="97"/>
    </row>
    <row r="2" spans="1:9" ht="13.8" thickBot="1">
      <c r="A2" s="1581" t="s">
        <v>79</v>
      </c>
      <c r="B2" s="1582"/>
      <c r="C2" s="96" t="str">
        <f>CONCATENATE(hnmji," ",nmjiou)</f>
        <v>08 SO.05</v>
      </c>
      <c r="D2" s="94"/>
      <c r="E2" s="95"/>
      <c r="F2" s="94"/>
      <c r="G2" s="1583"/>
      <c r="H2" s="1584"/>
      <c r="I2" s="1585"/>
    </row>
    <row r="3" spans="1:9" ht="13.8" thickTop="1">
      <c r="A3" s="1"/>
      <c r="B3" s="1"/>
      <c r="C3" s="1"/>
      <c r="D3" s="1"/>
      <c r="E3" s="1"/>
      <c r="F3" s="74"/>
      <c r="G3" s="1"/>
      <c r="H3" s="1"/>
      <c r="I3" s="1"/>
    </row>
    <row r="4" spans="1:9" ht="19.5" customHeight="1">
      <c r="A4" s="93" t="s">
        <v>76</v>
      </c>
      <c r="B4" s="72"/>
      <c r="C4" s="72"/>
      <c r="D4" s="72"/>
      <c r="E4" s="92"/>
      <c r="F4" s="72"/>
      <c r="G4" s="72"/>
      <c r="H4" s="1306" t="s">
        <v>2727</v>
      </c>
      <c r="I4" s="72"/>
    </row>
    <row r="5" spans="1:9" ht="13.8" thickBot="1">
      <c r="A5" s="1"/>
      <c r="B5" s="1"/>
      <c r="C5" s="1"/>
      <c r="D5" s="1"/>
      <c r="E5" s="1"/>
      <c r="F5" s="1"/>
      <c r="G5" s="1"/>
      <c r="H5" s="1"/>
      <c r="I5" s="1"/>
    </row>
    <row r="6" spans="1:9" s="256" customFormat="1" ht="13.8" thickBot="1">
      <c r="A6" s="91"/>
      <c r="B6" s="90" t="s">
        <v>75</v>
      </c>
      <c r="C6" s="90"/>
      <c r="D6" s="89"/>
      <c r="E6" s="88" t="s">
        <v>74</v>
      </c>
      <c r="F6" s="87" t="s">
        <v>73</v>
      </c>
      <c r="G6" s="87" t="s">
        <v>72</v>
      </c>
      <c r="H6" s="87" t="s">
        <v>71</v>
      </c>
      <c r="I6" s="86" t="s">
        <v>70</v>
      </c>
    </row>
    <row r="7" spans="1:9" s="256" customFormat="1" ht="12.75">
      <c r="A7" s="85" t="str">
        <f>'z05P'!B7</f>
        <v>1</v>
      </c>
      <c r="B7" s="1354" t="str">
        <f>'z05P'!C7</f>
        <v>Zemní práce</v>
      </c>
      <c r="C7" s="1355"/>
      <c r="D7" s="1356"/>
      <c r="E7" s="1357">
        <f>'z05P'!BA17</f>
        <v>0</v>
      </c>
      <c r="F7" s="1358">
        <f>'z05P'!BB17</f>
        <v>0</v>
      </c>
      <c r="G7" s="1358">
        <f>'z05P'!BC17</f>
        <v>0</v>
      </c>
      <c r="H7" s="1358">
        <f>'z05P'!BD17</f>
        <v>0</v>
      </c>
      <c r="I7" s="1359">
        <f>'z05P'!BE17</f>
        <v>0</v>
      </c>
    </row>
    <row r="8" spans="1:9" s="256" customFormat="1" ht="12.75">
      <c r="A8" s="85" t="str">
        <f>'z05P'!B18</f>
        <v>2</v>
      </c>
      <c r="B8" s="1354" t="str">
        <f>'z05P'!C18</f>
        <v>Základy a zvláštní zakládání</v>
      </c>
      <c r="C8" s="1355"/>
      <c r="D8" s="1356"/>
      <c r="E8" s="1357">
        <f>'z05P'!BA24</f>
        <v>0</v>
      </c>
      <c r="F8" s="1358">
        <f>'z05P'!BB24</f>
        <v>0</v>
      </c>
      <c r="G8" s="1358">
        <f>'z05P'!BC24</f>
        <v>0</v>
      </c>
      <c r="H8" s="1358">
        <f>'z05P'!BD24</f>
        <v>0</v>
      </c>
      <c r="I8" s="1359">
        <f>'z05P'!BE24</f>
        <v>0</v>
      </c>
    </row>
    <row r="9" spans="1:9" s="256" customFormat="1" ht="12.75">
      <c r="A9" s="85" t="str">
        <f>'z05P'!B25</f>
        <v>99</v>
      </c>
      <c r="B9" s="1354" t="str">
        <f>'z05P'!C25</f>
        <v>Staveništní přesun hmot</v>
      </c>
      <c r="C9" s="1355"/>
      <c r="D9" s="1356"/>
      <c r="E9" s="1357">
        <f>'z05P'!BA27</f>
        <v>0</v>
      </c>
      <c r="F9" s="1358">
        <f>'z05P'!BB27</f>
        <v>0</v>
      </c>
      <c r="G9" s="1358">
        <f>'z05P'!BC27</f>
        <v>0</v>
      </c>
      <c r="H9" s="1358">
        <f>'z05P'!BD27</f>
        <v>0</v>
      </c>
      <c r="I9" s="1359">
        <f>'z05P'!BE27</f>
        <v>0</v>
      </c>
    </row>
    <row r="10" spans="1:9" s="256" customFormat="1" ht="13.8" thickBot="1">
      <c r="A10" s="85" t="str">
        <f>'z05P'!B28</f>
        <v>767</v>
      </c>
      <c r="B10" s="1354" t="str">
        <f>'z05P'!C28</f>
        <v>Konstrukce zámečnické</v>
      </c>
      <c r="C10" s="1355"/>
      <c r="D10" s="1356"/>
      <c r="E10" s="1357">
        <f>'z05P'!BA33</f>
        <v>0</v>
      </c>
      <c r="F10" s="1358">
        <f>'z05P'!BB33</f>
        <v>0</v>
      </c>
      <c r="G10" s="1358">
        <f>'z05P'!BC33</f>
        <v>0</v>
      </c>
      <c r="H10" s="1358">
        <f>'z05P'!BD33</f>
        <v>0</v>
      </c>
      <c r="I10" s="1359">
        <f>'z05P'!BE33</f>
        <v>0</v>
      </c>
    </row>
    <row r="11" spans="1:9" s="262" customFormat="1" ht="13.8" thickBot="1">
      <c r="A11" s="80"/>
      <c r="B11" s="1360" t="s">
        <v>69</v>
      </c>
      <c r="C11" s="1360"/>
      <c r="D11" s="1361"/>
      <c r="E11" s="1362">
        <f>SUM(E7:E10)</f>
        <v>0</v>
      </c>
      <c r="F11" s="1363">
        <f>SUM(F7:F10)</f>
        <v>0</v>
      </c>
      <c r="G11" s="1363">
        <f>SUM(G7:G10)</f>
        <v>0</v>
      </c>
      <c r="H11" s="1363">
        <f>SUM(H7:H10)</f>
        <v>0</v>
      </c>
      <c r="I11" s="1364">
        <f>SUM(I7:I10)</f>
        <v>0</v>
      </c>
    </row>
    <row r="12" spans="1:9" ht="12.75">
      <c r="A12" s="74"/>
      <c r="B12" s="74"/>
      <c r="C12" s="74"/>
      <c r="D12" s="74"/>
      <c r="E12" s="74"/>
      <c r="F12" s="74"/>
      <c r="G12" s="74"/>
      <c r="H12" s="74"/>
      <c r="I12" s="74"/>
    </row>
    <row r="13" spans="1:57" ht="19.5" customHeight="1">
      <c r="A13" s="72" t="s">
        <v>68</v>
      </c>
      <c r="B13" s="72"/>
      <c r="C13" s="72"/>
      <c r="D13" s="72"/>
      <c r="E13" s="72"/>
      <c r="F13" s="72"/>
      <c r="G13" s="73"/>
      <c r="H13" s="72"/>
      <c r="I13" s="72"/>
      <c r="BA13" s="258"/>
      <c r="BB13" s="258"/>
      <c r="BC13" s="258"/>
      <c r="BD13" s="258"/>
      <c r="BE13" s="258"/>
    </row>
    <row r="14" spans="1:9" ht="13.8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71" t="s">
        <v>67</v>
      </c>
      <c r="B15" s="70"/>
      <c r="C15" s="70"/>
      <c r="D15" s="69"/>
      <c r="E15" s="68" t="s">
        <v>65</v>
      </c>
      <c r="F15" s="67" t="s">
        <v>9</v>
      </c>
      <c r="G15" s="66" t="s">
        <v>66</v>
      </c>
      <c r="H15" s="65"/>
      <c r="I15" s="64" t="s">
        <v>65</v>
      </c>
    </row>
    <row r="16" spans="1:53" ht="12.75">
      <c r="A16" s="63" t="s">
        <v>64</v>
      </c>
      <c r="B16" s="62"/>
      <c r="C16" s="62"/>
      <c r="D16" s="61"/>
      <c r="E16" s="1365">
        <v>0</v>
      </c>
      <c r="F16" s="1366">
        <v>0</v>
      </c>
      <c r="G16" s="1367">
        <f aca="true" t="shared" si="0" ref="G16:G23">CHOOSE(BA16+1,asdfghjkj+asdfgt,asdfghjkj+asdfgt+aqswd,asdfghjkj+asdfgt+aqswdefr+aqswd,asdfghjkj,asdfgt,aqswd,aqswdefr,aqswd+aqswdefr,0)</f>
        <v>0</v>
      </c>
      <c r="H16" s="1368"/>
      <c r="I16" s="1369">
        <f aca="true" t="shared" si="1" ref="I16:I23">E16+F16*G16/100</f>
        <v>0</v>
      </c>
      <c r="BA16">
        <v>0</v>
      </c>
    </row>
    <row r="17" spans="1:53" ht="12.75">
      <c r="A17" s="63" t="s">
        <v>63</v>
      </c>
      <c r="B17" s="62"/>
      <c r="C17" s="62"/>
      <c r="D17" s="61"/>
      <c r="E17" s="1365">
        <v>0</v>
      </c>
      <c r="F17" s="1366">
        <v>0</v>
      </c>
      <c r="G17" s="1367">
        <f t="shared" si="0"/>
        <v>0</v>
      </c>
      <c r="H17" s="1368"/>
      <c r="I17" s="1369">
        <f t="shared" si="1"/>
        <v>0</v>
      </c>
      <c r="BA17">
        <v>0</v>
      </c>
    </row>
    <row r="18" spans="1:53" ht="12.75">
      <c r="A18" s="63" t="s">
        <v>62</v>
      </c>
      <c r="B18" s="62"/>
      <c r="C18" s="62"/>
      <c r="D18" s="61"/>
      <c r="E18" s="1365">
        <v>0</v>
      </c>
      <c r="F18" s="1366">
        <v>0</v>
      </c>
      <c r="G18" s="1367">
        <f t="shared" si="0"/>
        <v>0</v>
      </c>
      <c r="H18" s="1368"/>
      <c r="I18" s="1369">
        <f t="shared" si="1"/>
        <v>0</v>
      </c>
      <c r="BA18">
        <v>0</v>
      </c>
    </row>
    <row r="19" spans="1:53" ht="12.75">
      <c r="A19" s="63" t="s">
        <v>61</v>
      </c>
      <c r="B19" s="62"/>
      <c r="C19" s="62"/>
      <c r="D19" s="61"/>
      <c r="E19" s="1365">
        <v>0</v>
      </c>
      <c r="F19" s="1366">
        <v>0</v>
      </c>
      <c r="G19" s="1367">
        <f t="shared" si="0"/>
        <v>0</v>
      </c>
      <c r="H19" s="1368"/>
      <c r="I19" s="1369">
        <f t="shared" si="1"/>
        <v>0</v>
      </c>
      <c r="BA19">
        <v>0</v>
      </c>
    </row>
    <row r="20" spans="1:53" ht="12.75">
      <c r="A20" s="63" t="s">
        <v>60</v>
      </c>
      <c r="B20" s="62"/>
      <c r="C20" s="62"/>
      <c r="D20" s="61"/>
      <c r="E20" s="1365">
        <v>0</v>
      </c>
      <c r="F20" s="1366">
        <v>3</v>
      </c>
      <c r="G20" s="1367">
        <f t="shared" si="0"/>
        <v>0</v>
      </c>
      <c r="H20" s="1368"/>
      <c r="I20" s="1369">
        <f t="shared" si="1"/>
        <v>0</v>
      </c>
      <c r="BA20">
        <v>1</v>
      </c>
    </row>
    <row r="21" spans="1:53" ht="12.75">
      <c r="A21" s="63" t="s">
        <v>59</v>
      </c>
      <c r="B21" s="62"/>
      <c r="C21" s="62"/>
      <c r="D21" s="61"/>
      <c r="E21" s="1365">
        <v>0</v>
      </c>
      <c r="F21" s="1366">
        <v>0</v>
      </c>
      <c r="G21" s="1367">
        <f t="shared" si="0"/>
        <v>0</v>
      </c>
      <c r="H21" s="1368"/>
      <c r="I21" s="1369">
        <f t="shared" si="1"/>
        <v>0</v>
      </c>
      <c r="BA21">
        <v>1</v>
      </c>
    </row>
    <row r="22" spans="1:53" ht="12.75">
      <c r="A22" s="63" t="s">
        <v>58</v>
      </c>
      <c r="B22" s="62"/>
      <c r="C22" s="62"/>
      <c r="D22" s="61"/>
      <c r="E22" s="1365">
        <v>0</v>
      </c>
      <c r="F22" s="1366">
        <v>1.2</v>
      </c>
      <c r="G22" s="1367">
        <f t="shared" si="0"/>
        <v>0</v>
      </c>
      <c r="H22" s="1368"/>
      <c r="I22" s="1369">
        <f t="shared" si="1"/>
        <v>0</v>
      </c>
      <c r="BA22">
        <v>2</v>
      </c>
    </row>
    <row r="23" spans="1:53" ht="12.75">
      <c r="A23" s="63" t="s">
        <v>41</v>
      </c>
      <c r="B23" s="62"/>
      <c r="C23" s="62"/>
      <c r="D23" s="61"/>
      <c r="E23" s="1365">
        <v>0</v>
      </c>
      <c r="F23" s="1366">
        <v>0</v>
      </c>
      <c r="G23" s="1367">
        <f t="shared" si="0"/>
        <v>0</v>
      </c>
      <c r="H23" s="1368"/>
      <c r="I23" s="1369">
        <f t="shared" si="1"/>
        <v>0</v>
      </c>
      <c r="BA23">
        <v>2</v>
      </c>
    </row>
    <row r="24" spans="1:9" ht="13.8" thickBot="1">
      <c r="A24" s="55"/>
      <c r="B24" s="54" t="s">
        <v>57</v>
      </c>
      <c r="C24" s="53"/>
      <c r="D24" s="52"/>
      <c r="E24" s="1370"/>
      <c r="F24" s="1371"/>
      <c r="G24" s="1371"/>
      <c r="H24" s="1639">
        <f>SUM(I16:I23)</f>
        <v>0</v>
      </c>
      <c r="I24" s="1640"/>
    </row>
    <row r="26" spans="2:9" ht="12.75">
      <c r="B26" s="262"/>
      <c r="F26" s="263"/>
      <c r="G26" s="264"/>
      <c r="H26" s="264"/>
      <c r="I26" s="265"/>
    </row>
    <row r="27" spans="6:9" ht="12.75">
      <c r="F27" s="263"/>
      <c r="G27" s="264"/>
      <c r="H27" s="264"/>
      <c r="I27" s="265"/>
    </row>
    <row r="28" spans="6:9" ht="12.75">
      <c r="F28" s="263"/>
      <c r="G28" s="264"/>
      <c r="H28" s="264"/>
      <c r="I28" s="265"/>
    </row>
    <row r="29" spans="6:9" ht="12.75">
      <c r="F29" s="263"/>
      <c r="G29" s="264"/>
      <c r="H29" s="264"/>
      <c r="I29" s="265"/>
    </row>
    <row r="30" spans="6:9" ht="12.75">
      <c r="F30" s="263"/>
      <c r="G30" s="264"/>
      <c r="H30" s="264"/>
      <c r="I30" s="265"/>
    </row>
    <row r="31" spans="6:9" ht="12.75">
      <c r="F31" s="263"/>
      <c r="G31" s="264"/>
      <c r="H31" s="264"/>
      <c r="I31" s="265"/>
    </row>
    <row r="32" spans="6:9" ht="12.75">
      <c r="F32" s="263"/>
      <c r="G32" s="264"/>
      <c r="H32" s="264"/>
      <c r="I32" s="265"/>
    </row>
    <row r="33" spans="6:9" ht="12.75">
      <c r="F33" s="263"/>
      <c r="G33" s="264"/>
      <c r="H33" s="264"/>
      <c r="I33" s="265"/>
    </row>
    <row r="34" spans="6:9" ht="12.75">
      <c r="F34" s="263"/>
      <c r="G34" s="264"/>
      <c r="H34" s="264"/>
      <c r="I34" s="265"/>
    </row>
    <row r="35" spans="6:9" ht="12.75">
      <c r="F35" s="263"/>
      <c r="G35" s="264"/>
      <c r="H35" s="264"/>
      <c r="I35" s="265"/>
    </row>
    <row r="36" spans="6:9" ht="12.75">
      <c r="F36" s="263"/>
      <c r="G36" s="264"/>
      <c r="H36" s="264"/>
      <c r="I36" s="265"/>
    </row>
    <row r="37" spans="6:9" ht="12.75">
      <c r="F37" s="263"/>
      <c r="G37" s="264"/>
      <c r="H37" s="264"/>
      <c r="I37" s="265"/>
    </row>
    <row r="38" spans="6:9" ht="12.75">
      <c r="F38" s="263"/>
      <c r="G38" s="264"/>
      <c r="H38" s="264"/>
      <c r="I38" s="265"/>
    </row>
    <row r="39" spans="6:9" ht="12.75">
      <c r="F39" s="263"/>
      <c r="G39" s="264"/>
      <c r="H39" s="264"/>
      <c r="I39" s="265"/>
    </row>
    <row r="40" spans="6:9" ht="12.75">
      <c r="F40" s="263"/>
      <c r="G40" s="264"/>
      <c r="H40" s="264"/>
      <c r="I40" s="265"/>
    </row>
    <row r="41" spans="6:9" ht="12.75">
      <c r="F41" s="263"/>
      <c r="G41" s="264"/>
      <c r="H41" s="264"/>
      <c r="I41" s="265"/>
    </row>
    <row r="42" spans="6:9" ht="12.75">
      <c r="F42" s="263"/>
      <c r="G42" s="264"/>
      <c r="H42" s="264"/>
      <c r="I42" s="265"/>
    </row>
    <row r="43" spans="6:9" ht="12.75">
      <c r="F43" s="263"/>
      <c r="G43" s="264"/>
      <c r="H43" s="264"/>
      <c r="I43" s="265"/>
    </row>
    <row r="44" spans="6:9" ht="12.75">
      <c r="F44" s="263"/>
      <c r="G44" s="264"/>
      <c r="H44" s="264"/>
      <c r="I44" s="265"/>
    </row>
    <row r="45" spans="6:9" ht="12.75">
      <c r="F45" s="263"/>
      <c r="G45" s="264"/>
      <c r="H45" s="264"/>
      <c r="I45" s="265"/>
    </row>
    <row r="46" spans="6:9" ht="12.75">
      <c r="F46" s="263"/>
      <c r="G46" s="264"/>
      <c r="H46" s="264"/>
      <c r="I46" s="265"/>
    </row>
    <row r="47" spans="6:9" ht="12.75">
      <c r="F47" s="263"/>
      <c r="G47" s="264"/>
      <c r="H47" s="264"/>
      <c r="I47" s="265"/>
    </row>
    <row r="48" spans="6:9" ht="12.75">
      <c r="F48" s="263"/>
      <c r="G48" s="264"/>
      <c r="H48" s="264"/>
      <c r="I48" s="265"/>
    </row>
    <row r="49" spans="6:9" ht="12.75">
      <c r="F49" s="263"/>
      <c r="G49" s="264"/>
      <c r="H49" s="264"/>
      <c r="I49" s="265"/>
    </row>
    <row r="50" spans="6:9" ht="12.75">
      <c r="F50" s="263"/>
      <c r="G50" s="264"/>
      <c r="H50" s="264"/>
      <c r="I50" s="265"/>
    </row>
    <row r="51" spans="6:9" ht="12.75">
      <c r="F51" s="263"/>
      <c r="G51" s="264"/>
      <c r="H51" s="264"/>
      <c r="I51" s="265"/>
    </row>
    <row r="52" spans="6:9" ht="12.75">
      <c r="F52" s="263"/>
      <c r="G52" s="264"/>
      <c r="H52" s="264"/>
      <c r="I52" s="265"/>
    </row>
    <row r="53" spans="6:9" ht="12.75">
      <c r="F53" s="263"/>
      <c r="G53" s="264"/>
      <c r="H53" s="264"/>
      <c r="I53" s="265"/>
    </row>
    <row r="54" spans="6:9" ht="12.75">
      <c r="F54" s="263"/>
      <c r="G54" s="264"/>
      <c r="H54" s="264"/>
      <c r="I54" s="265"/>
    </row>
    <row r="55" spans="6:9" ht="12.75">
      <c r="F55" s="263"/>
      <c r="G55" s="264"/>
      <c r="H55" s="264"/>
      <c r="I55" s="265"/>
    </row>
    <row r="56" spans="6:9" ht="12.75">
      <c r="F56" s="263"/>
      <c r="G56" s="264"/>
      <c r="H56" s="264"/>
      <c r="I56" s="265"/>
    </row>
    <row r="57" spans="6:9" ht="12.75">
      <c r="F57" s="263"/>
      <c r="G57" s="264"/>
      <c r="H57" s="264"/>
      <c r="I57" s="265"/>
    </row>
    <row r="58" spans="6:9" ht="12.75">
      <c r="F58" s="263"/>
      <c r="G58" s="264"/>
      <c r="H58" s="264"/>
      <c r="I58" s="265"/>
    </row>
    <row r="59" spans="6:9" ht="12.75">
      <c r="F59" s="263"/>
      <c r="G59" s="264"/>
      <c r="H59" s="264"/>
      <c r="I59" s="265"/>
    </row>
    <row r="60" spans="6:9" ht="12.75">
      <c r="F60" s="263"/>
      <c r="G60" s="264"/>
      <c r="H60" s="264"/>
      <c r="I60" s="265"/>
    </row>
    <row r="61" spans="6:9" ht="12.75">
      <c r="F61" s="263"/>
      <c r="G61" s="264"/>
      <c r="H61" s="264"/>
      <c r="I61" s="265"/>
    </row>
    <row r="62" spans="6:9" ht="12.75">
      <c r="F62" s="263"/>
      <c r="G62" s="264"/>
      <c r="H62" s="264"/>
      <c r="I62" s="265"/>
    </row>
    <row r="63" spans="6:9" ht="12.75">
      <c r="F63" s="263"/>
      <c r="G63" s="264"/>
      <c r="H63" s="264"/>
      <c r="I63" s="265"/>
    </row>
    <row r="64" spans="6:9" ht="12.75">
      <c r="F64" s="263"/>
      <c r="G64" s="264"/>
      <c r="H64" s="264"/>
      <c r="I64" s="265"/>
    </row>
    <row r="65" spans="6:9" ht="12.75">
      <c r="F65" s="263"/>
      <c r="G65" s="264"/>
      <c r="H65" s="264"/>
      <c r="I65" s="265"/>
    </row>
    <row r="66" spans="6:9" ht="12.75">
      <c r="F66" s="263"/>
      <c r="G66" s="264"/>
      <c r="H66" s="264"/>
      <c r="I66" s="265"/>
    </row>
    <row r="67" spans="6:9" ht="12.75">
      <c r="F67" s="263"/>
      <c r="G67" s="264"/>
      <c r="H67" s="264"/>
      <c r="I67" s="265"/>
    </row>
    <row r="68" spans="6:9" ht="12.75">
      <c r="F68" s="263"/>
      <c r="G68" s="264"/>
      <c r="H68" s="264"/>
      <c r="I68" s="265"/>
    </row>
    <row r="69" spans="6:9" ht="12.75">
      <c r="F69" s="263"/>
      <c r="G69" s="264"/>
      <c r="H69" s="264"/>
      <c r="I69" s="265"/>
    </row>
    <row r="70" spans="6:9" ht="12.75">
      <c r="F70" s="263"/>
      <c r="G70" s="264"/>
      <c r="H70" s="264"/>
      <c r="I70" s="265"/>
    </row>
    <row r="71" spans="6:9" ht="12.75">
      <c r="F71" s="263"/>
      <c r="G71" s="264"/>
      <c r="H71" s="264"/>
      <c r="I71" s="265"/>
    </row>
    <row r="72" spans="6:9" ht="12.75">
      <c r="F72" s="263"/>
      <c r="G72" s="264"/>
      <c r="H72" s="264"/>
      <c r="I72" s="265"/>
    </row>
    <row r="73" spans="6:9" ht="12.75">
      <c r="F73" s="263"/>
      <c r="G73" s="264"/>
      <c r="H73" s="264"/>
      <c r="I73" s="265"/>
    </row>
    <row r="74" spans="6:9" ht="12.75">
      <c r="F74" s="263"/>
      <c r="G74" s="264"/>
      <c r="H74" s="264"/>
      <c r="I74" s="265"/>
    </row>
    <row r="75" spans="6:9" ht="12.75">
      <c r="F75" s="263"/>
      <c r="G75" s="264"/>
      <c r="H75" s="264"/>
      <c r="I75" s="265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Z106"/>
  <sheetViews>
    <sheetView showGridLines="0" showZeros="0" view="pageBreakPreview" zoomScale="115" zoomScaleSheetLayoutView="115" workbookViewId="0" topLeftCell="A1">
      <selection activeCell="I38" sqref="I38"/>
    </sheetView>
  </sheetViews>
  <sheetFormatPr defaultColWidth="9.125" defaultRowHeight="12.75"/>
  <cols>
    <col min="1" max="1" width="4.50390625" style="266" customWidth="1"/>
    <col min="2" max="2" width="11.50390625" style="266" customWidth="1"/>
    <col min="3" max="3" width="40.50390625" style="266" customWidth="1"/>
    <col min="4" max="4" width="5.50390625" style="266" customWidth="1"/>
    <col min="5" max="5" width="8.50390625" style="272" customWidth="1"/>
    <col min="6" max="6" width="9.875" style="266" customWidth="1"/>
    <col min="7" max="7" width="13.875" style="266" customWidth="1"/>
    <col min="8" max="11" width="9.125" style="266" customWidth="1"/>
    <col min="12" max="12" width="75.50390625" style="266" customWidth="1"/>
    <col min="13" max="13" width="45.375" style="266" customWidth="1"/>
    <col min="14" max="16384" width="9.125" style="266" customWidth="1"/>
  </cols>
  <sheetData>
    <row r="1" spans="1:7" ht="15.6">
      <c r="A1" s="1590" t="s">
        <v>127</v>
      </c>
      <c r="B1" s="1590"/>
      <c r="C1" s="1590"/>
      <c r="D1" s="1590"/>
      <c r="E1" s="1590"/>
      <c r="F1" s="1590"/>
      <c r="G1" s="1590"/>
    </row>
    <row r="2" spans="1:7" ht="14.25" customHeight="1" thickBot="1">
      <c r="A2" s="190"/>
      <c r="B2" s="191"/>
      <c r="C2" s="1303" t="s">
        <v>2727</v>
      </c>
      <c r="D2" s="192"/>
      <c r="E2" s="193"/>
      <c r="F2" s="192"/>
      <c r="G2" s="192"/>
    </row>
    <row r="3" spans="1:7" ht="13.8" thickTop="1">
      <c r="A3" s="1579" t="s">
        <v>2</v>
      </c>
      <c r="B3" s="1580"/>
      <c r="C3" s="102" t="str">
        <f>CONCATENATE(hnz," ",huk)</f>
        <v>2013/88 Lednice zahrady</v>
      </c>
      <c r="D3" s="194"/>
      <c r="E3" s="195" t="s">
        <v>128</v>
      </c>
      <c r="F3" s="196">
        <f>'z05R'!H1</f>
        <v>0</v>
      </c>
      <c r="G3" s="197"/>
    </row>
    <row r="4" spans="1:7" ht="13.8" thickBot="1">
      <c r="A4" s="1591" t="s">
        <v>79</v>
      </c>
      <c r="B4" s="1582"/>
      <c r="C4" s="96" t="str">
        <f>CONCATENATE(hnmji," ",nmjiou)</f>
        <v>08 SO.05</v>
      </c>
      <c r="D4" s="198"/>
      <c r="E4" s="1592">
        <f>'z05R'!G2</f>
        <v>0</v>
      </c>
      <c r="F4" s="1593"/>
      <c r="G4" s="1594"/>
    </row>
    <row r="5" spans="1:7" ht="13.8" thickTop="1">
      <c r="A5" s="199"/>
      <c r="B5" s="190"/>
      <c r="C5" s="190"/>
      <c r="D5" s="190"/>
      <c r="E5" s="200"/>
      <c r="F5" s="190"/>
      <c r="G5" s="201"/>
    </row>
    <row r="6" spans="1:7" ht="12.75">
      <c r="A6" s="202" t="s">
        <v>129</v>
      </c>
      <c r="B6" s="203" t="s">
        <v>130</v>
      </c>
      <c r="C6" s="203" t="s">
        <v>131</v>
      </c>
      <c r="D6" s="203" t="s">
        <v>132</v>
      </c>
      <c r="E6" s="204" t="s">
        <v>133</v>
      </c>
      <c r="F6" s="203" t="s">
        <v>134</v>
      </c>
      <c r="G6" s="205" t="s">
        <v>135</v>
      </c>
    </row>
    <row r="7" spans="1:15" ht="12.75">
      <c r="A7" s="207" t="s">
        <v>140</v>
      </c>
      <c r="B7" s="1373" t="s">
        <v>141</v>
      </c>
      <c r="C7" s="1374" t="s">
        <v>142</v>
      </c>
      <c r="D7" s="1375"/>
      <c r="E7" s="1376"/>
      <c r="F7" s="1376"/>
      <c r="G7" s="1377"/>
      <c r="H7" s="267"/>
      <c r="I7" s="267"/>
      <c r="O7" s="268">
        <v>1</v>
      </c>
    </row>
    <row r="8" spans="1:104" ht="12.75">
      <c r="A8" s="218">
        <v>1</v>
      </c>
      <c r="B8" s="1378" t="s">
        <v>1599</v>
      </c>
      <c r="C8" s="1379" t="s">
        <v>1600</v>
      </c>
      <c r="D8" s="1380" t="s">
        <v>154</v>
      </c>
      <c r="E8" s="1381"/>
      <c r="F8" s="1381"/>
      <c r="G8" s="1382">
        <f>E8*F8</f>
        <v>0</v>
      </c>
      <c r="H8" s="266">
        <v>-5.35</v>
      </c>
      <c r="O8" s="268">
        <v>2</v>
      </c>
      <c r="AA8" s="266">
        <v>1</v>
      </c>
      <c r="AB8" s="266">
        <v>1</v>
      </c>
      <c r="AC8" s="266">
        <v>1</v>
      </c>
      <c r="AZ8" s="266">
        <v>1</v>
      </c>
      <c r="BA8" s="266">
        <f>IF(AZ8=1,G8,0)</f>
        <v>0</v>
      </c>
      <c r="BB8" s="266">
        <f>IF(AZ8=2,G8,0)</f>
        <v>0</v>
      </c>
      <c r="BC8" s="266">
        <f>IF(AZ8=3,G8,0)</f>
        <v>0</v>
      </c>
      <c r="BD8" s="266">
        <f>IF(AZ8=4,G8,0)</f>
        <v>0</v>
      </c>
      <c r="BE8" s="266">
        <f>IF(AZ8=5,G8,0)</f>
        <v>0</v>
      </c>
      <c r="CA8" s="268">
        <v>1</v>
      </c>
      <c r="CB8" s="268">
        <v>1</v>
      </c>
      <c r="CZ8" s="266">
        <v>0</v>
      </c>
    </row>
    <row r="9" spans="1:15" ht="12.75">
      <c r="A9" s="226"/>
      <c r="B9" s="1383"/>
      <c r="C9" s="1641" t="s">
        <v>1601</v>
      </c>
      <c r="D9" s="1642"/>
      <c r="E9" s="1384">
        <v>4.5</v>
      </c>
      <c r="F9" s="1385"/>
      <c r="G9" s="1386"/>
      <c r="M9" s="234" t="s">
        <v>1601</v>
      </c>
      <c r="O9" s="268"/>
    </row>
    <row r="10" spans="1:15" ht="12.75">
      <c r="A10" s="226"/>
      <c r="B10" s="1383"/>
      <c r="C10" s="1641" t="s">
        <v>1602</v>
      </c>
      <c r="D10" s="1642"/>
      <c r="E10" s="1384">
        <v>2.106</v>
      </c>
      <c r="F10" s="1385"/>
      <c r="G10" s="1386"/>
      <c r="M10" s="234" t="s">
        <v>1602</v>
      </c>
      <c r="O10" s="268"/>
    </row>
    <row r="11" spans="1:15" ht="12.75">
      <c r="A11" s="226"/>
      <c r="B11" s="1383"/>
      <c r="C11" s="1641" t="s">
        <v>1603</v>
      </c>
      <c r="D11" s="1642"/>
      <c r="E11" s="1384">
        <v>-0.225</v>
      </c>
      <c r="F11" s="1385"/>
      <c r="G11" s="1386"/>
      <c r="M11" s="234" t="s">
        <v>1603</v>
      </c>
      <c r="O11" s="268"/>
    </row>
    <row r="12" spans="1:15" ht="12.75">
      <c r="A12" s="226"/>
      <c r="B12" s="1383"/>
      <c r="C12" s="1641" t="s">
        <v>1604</v>
      </c>
      <c r="D12" s="1642"/>
      <c r="E12" s="1384">
        <v>-1.035</v>
      </c>
      <c r="F12" s="1385"/>
      <c r="G12" s="1386"/>
      <c r="M12" s="234" t="s">
        <v>1604</v>
      </c>
      <c r="O12" s="268"/>
    </row>
    <row r="13" spans="1:104" ht="12.75">
      <c r="A13" s="218">
        <v>2</v>
      </c>
      <c r="B13" s="1378" t="s">
        <v>1605</v>
      </c>
      <c r="C13" s="1379" t="s">
        <v>1606</v>
      </c>
      <c r="D13" s="1380" t="s">
        <v>154</v>
      </c>
      <c r="E13" s="1381"/>
      <c r="F13" s="1381"/>
      <c r="G13" s="1382">
        <f>E13*F13</f>
        <v>0</v>
      </c>
      <c r="H13" s="266">
        <v>-5.35</v>
      </c>
      <c r="O13" s="268">
        <v>2</v>
      </c>
      <c r="AA13" s="266">
        <v>1</v>
      </c>
      <c r="AB13" s="266">
        <v>1</v>
      </c>
      <c r="AC13" s="266">
        <v>1</v>
      </c>
      <c r="AZ13" s="266">
        <v>1</v>
      </c>
      <c r="BA13" s="266">
        <f>IF(AZ13=1,G13,0)</f>
        <v>0</v>
      </c>
      <c r="BB13" s="266">
        <f>IF(AZ13=2,G13,0)</f>
        <v>0</v>
      </c>
      <c r="BC13" s="266">
        <f>IF(AZ13=3,G13,0)</f>
        <v>0</v>
      </c>
      <c r="BD13" s="266">
        <f>IF(AZ13=4,G13,0)</f>
        <v>0</v>
      </c>
      <c r="BE13" s="266">
        <f>IF(AZ13=5,G13,0)</f>
        <v>0</v>
      </c>
      <c r="CA13" s="268">
        <v>1</v>
      </c>
      <c r="CB13" s="268">
        <v>1</v>
      </c>
      <c r="CZ13" s="266">
        <v>0</v>
      </c>
    </row>
    <row r="14" spans="1:104" ht="20.4">
      <c r="A14" s="218">
        <v>3</v>
      </c>
      <c r="B14" s="1378" t="s">
        <v>1607</v>
      </c>
      <c r="C14" s="1379" t="s">
        <v>1608</v>
      </c>
      <c r="D14" s="1380" t="s">
        <v>154</v>
      </c>
      <c r="E14" s="1381"/>
      <c r="F14" s="1381"/>
      <c r="G14" s="1382">
        <f>E14*F14</f>
        <v>0</v>
      </c>
      <c r="H14" s="266">
        <v>-5.35</v>
      </c>
      <c r="O14" s="268">
        <v>2</v>
      </c>
      <c r="AA14" s="266">
        <v>1</v>
      </c>
      <c r="AB14" s="266">
        <v>1</v>
      </c>
      <c r="AC14" s="266">
        <v>1</v>
      </c>
      <c r="AZ14" s="266">
        <v>1</v>
      </c>
      <c r="BA14" s="266">
        <f>IF(AZ14=1,G14,0)</f>
        <v>0</v>
      </c>
      <c r="BB14" s="266">
        <f>IF(AZ14=2,G14,0)</f>
        <v>0</v>
      </c>
      <c r="BC14" s="266">
        <f>IF(AZ14=3,G14,0)</f>
        <v>0</v>
      </c>
      <c r="BD14" s="266">
        <f>IF(AZ14=4,G14,0)</f>
        <v>0</v>
      </c>
      <c r="BE14" s="266">
        <f>IF(AZ14=5,G14,0)</f>
        <v>0</v>
      </c>
      <c r="CA14" s="268">
        <v>1</v>
      </c>
      <c r="CB14" s="268">
        <v>1</v>
      </c>
      <c r="CZ14" s="266">
        <v>0</v>
      </c>
    </row>
    <row r="15" spans="1:104" ht="12.75">
      <c r="A15" s="218">
        <v>4</v>
      </c>
      <c r="B15" s="1378" t="s">
        <v>162</v>
      </c>
      <c r="C15" s="1379" t="s">
        <v>163</v>
      </c>
      <c r="D15" s="1380" t="s">
        <v>154</v>
      </c>
      <c r="E15" s="1381"/>
      <c r="F15" s="1381"/>
      <c r="G15" s="1382">
        <f>E15*F15</f>
        <v>0</v>
      </c>
      <c r="H15" s="266">
        <v>-5.35</v>
      </c>
      <c r="O15" s="268">
        <v>2</v>
      </c>
      <c r="AA15" s="266">
        <v>1</v>
      </c>
      <c r="AB15" s="266">
        <v>1</v>
      </c>
      <c r="AC15" s="266">
        <v>1</v>
      </c>
      <c r="AZ15" s="266">
        <v>1</v>
      </c>
      <c r="BA15" s="266">
        <f>IF(AZ15=1,G15,0)</f>
        <v>0</v>
      </c>
      <c r="BB15" s="266">
        <f>IF(AZ15=2,G15,0)</f>
        <v>0</v>
      </c>
      <c r="BC15" s="266">
        <f>IF(AZ15=3,G15,0)</f>
        <v>0</v>
      </c>
      <c r="BD15" s="266">
        <f>IF(AZ15=4,G15,0)</f>
        <v>0</v>
      </c>
      <c r="BE15" s="266">
        <f>IF(AZ15=5,G15,0)</f>
        <v>0</v>
      </c>
      <c r="CA15" s="268">
        <v>1</v>
      </c>
      <c r="CB15" s="268">
        <v>1</v>
      </c>
      <c r="CZ15" s="266">
        <v>0</v>
      </c>
    </row>
    <row r="16" spans="1:104" ht="12.75">
      <c r="A16" s="218">
        <v>5</v>
      </c>
      <c r="B16" s="1378" t="s">
        <v>1609</v>
      </c>
      <c r="C16" s="1379" t="s">
        <v>1610</v>
      </c>
      <c r="D16" s="1380" t="s">
        <v>154</v>
      </c>
      <c r="E16" s="1381"/>
      <c r="F16" s="1381"/>
      <c r="G16" s="1382">
        <f>E16*F16</f>
        <v>0</v>
      </c>
      <c r="H16" s="266">
        <v>-5.35</v>
      </c>
      <c r="O16" s="268">
        <v>2</v>
      </c>
      <c r="AA16" s="266">
        <v>1</v>
      </c>
      <c r="AB16" s="266">
        <v>1</v>
      </c>
      <c r="AC16" s="266">
        <v>1</v>
      </c>
      <c r="AZ16" s="266">
        <v>1</v>
      </c>
      <c r="BA16" s="266">
        <f>IF(AZ16=1,G16,0)</f>
        <v>0</v>
      </c>
      <c r="BB16" s="266">
        <f>IF(AZ16=2,G16,0)</f>
        <v>0</v>
      </c>
      <c r="BC16" s="266">
        <f>IF(AZ16=3,G16,0)</f>
        <v>0</v>
      </c>
      <c r="BD16" s="266">
        <f>IF(AZ16=4,G16,0)</f>
        <v>0</v>
      </c>
      <c r="BE16" s="266">
        <f>IF(AZ16=5,G16,0)</f>
        <v>0</v>
      </c>
      <c r="CA16" s="268">
        <v>1</v>
      </c>
      <c r="CB16" s="268">
        <v>1</v>
      </c>
      <c r="CZ16" s="266">
        <v>0</v>
      </c>
    </row>
    <row r="17" spans="1:57" ht="12.75">
      <c r="A17" s="236"/>
      <c r="B17" s="1387" t="s">
        <v>175</v>
      </c>
      <c r="C17" s="1374" t="str">
        <f>CONCATENATE(B7," ",C7)</f>
        <v>1 Zemní práce</v>
      </c>
      <c r="D17" s="1375"/>
      <c r="E17" s="1388"/>
      <c r="F17" s="1389"/>
      <c r="G17" s="1390">
        <f>SUM(G7:G16)</f>
        <v>0</v>
      </c>
      <c r="O17" s="268">
        <v>4</v>
      </c>
      <c r="BA17" s="269">
        <f>SUM(BA7:BA16)</f>
        <v>0</v>
      </c>
      <c r="BB17" s="269">
        <f>SUM(BB7:BB16)</f>
        <v>0</v>
      </c>
      <c r="BC17" s="269">
        <f>SUM(BC7:BC16)</f>
        <v>0</v>
      </c>
      <c r="BD17" s="269">
        <f>SUM(BD7:BD16)</f>
        <v>0</v>
      </c>
      <c r="BE17" s="269">
        <f>SUM(BE7:BE16)</f>
        <v>0</v>
      </c>
    </row>
    <row r="18" spans="1:15" ht="12.75">
      <c r="A18" s="207" t="s">
        <v>140</v>
      </c>
      <c r="B18" s="1373" t="s">
        <v>183</v>
      </c>
      <c r="C18" s="1374" t="s">
        <v>184</v>
      </c>
      <c r="D18" s="1375"/>
      <c r="E18" s="1376"/>
      <c r="F18" s="1376"/>
      <c r="G18" s="1377"/>
      <c r="H18" s="267"/>
      <c r="I18" s="267"/>
      <c r="O18" s="268">
        <v>1</v>
      </c>
    </row>
    <row r="19" spans="1:104" ht="12.75">
      <c r="A19" s="218">
        <v>6</v>
      </c>
      <c r="B19" s="1378" t="s">
        <v>541</v>
      </c>
      <c r="C19" s="1379" t="s">
        <v>542</v>
      </c>
      <c r="D19" s="1380" t="s">
        <v>154</v>
      </c>
      <c r="E19" s="1381"/>
      <c r="F19" s="1381"/>
      <c r="G19" s="1382">
        <f>E19*F19</f>
        <v>0</v>
      </c>
      <c r="H19" s="266">
        <v>-5.35</v>
      </c>
      <c r="O19" s="268">
        <v>2</v>
      </c>
      <c r="AA19" s="266">
        <v>1</v>
      </c>
      <c r="AB19" s="266">
        <v>1</v>
      </c>
      <c r="AC19" s="266">
        <v>1</v>
      </c>
      <c r="AZ19" s="266">
        <v>1</v>
      </c>
      <c r="BA19" s="266">
        <f>IF(AZ19=1,G19,0)</f>
        <v>0</v>
      </c>
      <c r="BB19" s="266">
        <f>IF(AZ19=2,G19,0)</f>
        <v>0</v>
      </c>
      <c r="BC19" s="266">
        <f>IF(AZ19=3,G19,0)</f>
        <v>0</v>
      </c>
      <c r="BD19" s="266">
        <f>IF(AZ19=4,G19,0)</f>
        <v>0</v>
      </c>
      <c r="BE19" s="266">
        <f>IF(AZ19=5,G19,0)</f>
        <v>0</v>
      </c>
      <c r="CA19" s="268">
        <v>1</v>
      </c>
      <c r="CB19" s="268">
        <v>1</v>
      </c>
      <c r="CZ19" s="266">
        <v>2.525</v>
      </c>
    </row>
    <row r="20" spans="1:15" ht="12.75">
      <c r="A20" s="226"/>
      <c r="B20" s="1383"/>
      <c r="C20" s="1641" t="s">
        <v>1601</v>
      </c>
      <c r="D20" s="1642"/>
      <c r="E20" s="1384">
        <v>4.5</v>
      </c>
      <c r="F20" s="1385"/>
      <c r="G20" s="1386"/>
      <c r="M20" s="234" t="s">
        <v>1601</v>
      </c>
      <c r="O20" s="268"/>
    </row>
    <row r="21" spans="1:15" ht="12.75">
      <c r="A21" s="226"/>
      <c r="B21" s="1383"/>
      <c r="C21" s="1641" t="s">
        <v>1602</v>
      </c>
      <c r="D21" s="1642"/>
      <c r="E21" s="1384">
        <v>2.106</v>
      </c>
      <c r="F21" s="1385"/>
      <c r="G21" s="1386"/>
      <c r="M21" s="234" t="s">
        <v>1602</v>
      </c>
      <c r="O21" s="268"/>
    </row>
    <row r="22" spans="1:15" ht="12.75">
      <c r="A22" s="226"/>
      <c r="B22" s="1383"/>
      <c r="C22" s="1641" t="s">
        <v>1603</v>
      </c>
      <c r="D22" s="1642"/>
      <c r="E22" s="1384">
        <v>-0.225</v>
      </c>
      <c r="F22" s="1385"/>
      <c r="G22" s="1386"/>
      <c r="M22" s="234" t="s">
        <v>1603</v>
      </c>
      <c r="O22" s="268"/>
    </row>
    <row r="23" spans="1:15" ht="12.75">
      <c r="A23" s="226"/>
      <c r="B23" s="1383"/>
      <c r="C23" s="1641" t="s">
        <v>1604</v>
      </c>
      <c r="D23" s="1642"/>
      <c r="E23" s="1384">
        <v>-1.035</v>
      </c>
      <c r="F23" s="1385"/>
      <c r="G23" s="1386"/>
      <c r="M23" s="234" t="s">
        <v>1604</v>
      </c>
      <c r="O23" s="268"/>
    </row>
    <row r="24" spans="1:57" ht="12.75">
      <c r="A24" s="236"/>
      <c r="B24" s="1387" t="s">
        <v>175</v>
      </c>
      <c r="C24" s="1374" t="str">
        <f>CONCATENATE(B18," ",C18)</f>
        <v>2 Základy a zvláštní zakládání</v>
      </c>
      <c r="D24" s="1375"/>
      <c r="E24" s="1388"/>
      <c r="F24" s="1389"/>
      <c r="G24" s="1390">
        <f>SUM(G18:G23)</f>
        <v>0</v>
      </c>
      <c r="O24" s="268">
        <v>4</v>
      </c>
      <c r="BA24" s="269">
        <f>SUM(BA18:BA23)</f>
        <v>0</v>
      </c>
      <c r="BB24" s="269">
        <f>SUM(BB18:BB23)</f>
        <v>0</v>
      </c>
      <c r="BC24" s="269">
        <f>SUM(BC18:BC23)</f>
        <v>0</v>
      </c>
      <c r="BD24" s="269">
        <f>SUM(BD18:BD23)</f>
        <v>0</v>
      </c>
      <c r="BE24" s="269">
        <f>SUM(BE18:BE23)</f>
        <v>0</v>
      </c>
    </row>
    <row r="25" spans="1:15" ht="12.75">
      <c r="A25" s="207" t="s">
        <v>140</v>
      </c>
      <c r="B25" s="1373" t="s">
        <v>234</v>
      </c>
      <c r="C25" s="1374" t="s">
        <v>235</v>
      </c>
      <c r="D25" s="1375"/>
      <c r="E25" s="1376"/>
      <c r="F25" s="1376"/>
      <c r="G25" s="1377"/>
      <c r="H25" s="267"/>
      <c r="I25" s="267"/>
      <c r="O25" s="268">
        <v>1</v>
      </c>
    </row>
    <row r="26" spans="1:104" ht="12.75">
      <c r="A26" s="218">
        <v>7</v>
      </c>
      <c r="B26" s="1378" t="s">
        <v>1611</v>
      </c>
      <c r="C26" s="1379" t="s">
        <v>1612</v>
      </c>
      <c r="D26" s="1380" t="s">
        <v>166</v>
      </c>
      <c r="E26" s="1381"/>
      <c r="F26" s="1381"/>
      <c r="G26" s="1382">
        <f>E26*F26</f>
        <v>0</v>
      </c>
      <c r="H26" s="266">
        <v>-13.5</v>
      </c>
      <c r="O26" s="268">
        <v>2</v>
      </c>
      <c r="AA26" s="266">
        <v>7</v>
      </c>
      <c r="AB26" s="266">
        <v>1</v>
      </c>
      <c r="AC26" s="266">
        <v>2</v>
      </c>
      <c r="AZ26" s="266">
        <v>1</v>
      </c>
      <c r="BA26" s="266">
        <f>IF(AZ26=1,G26,0)</f>
        <v>0</v>
      </c>
      <c r="BB26" s="266">
        <f>IF(AZ26=2,G26,0)</f>
        <v>0</v>
      </c>
      <c r="BC26" s="266">
        <f>IF(AZ26=3,G26,0)</f>
        <v>0</v>
      </c>
      <c r="BD26" s="266">
        <f>IF(AZ26=4,G26,0)</f>
        <v>0</v>
      </c>
      <c r="BE26" s="266">
        <f>IF(AZ26=5,G26,0)</f>
        <v>0</v>
      </c>
      <c r="CA26" s="268">
        <v>7</v>
      </c>
      <c r="CB26" s="268">
        <v>1</v>
      </c>
      <c r="CZ26" s="266">
        <v>0</v>
      </c>
    </row>
    <row r="27" spans="1:57" ht="12.75">
      <c r="A27" s="236"/>
      <c r="B27" s="1387" t="s">
        <v>175</v>
      </c>
      <c r="C27" s="1374" t="str">
        <f>CONCATENATE(B25," ",C25)</f>
        <v>99 Staveništní přesun hmot</v>
      </c>
      <c r="D27" s="1375"/>
      <c r="E27" s="1388"/>
      <c r="F27" s="1389"/>
      <c r="G27" s="1390">
        <f>SUM(G25:G26)</f>
        <v>0</v>
      </c>
      <c r="O27" s="268">
        <v>4</v>
      </c>
      <c r="BA27" s="269">
        <f>SUM(BA25:BA26)</f>
        <v>0</v>
      </c>
      <c r="BB27" s="269">
        <f>SUM(BB25:BB26)</f>
        <v>0</v>
      </c>
      <c r="BC27" s="269">
        <f>SUM(BC25:BC26)</f>
        <v>0</v>
      </c>
      <c r="BD27" s="269">
        <f>SUM(BD25:BD26)</f>
        <v>0</v>
      </c>
      <c r="BE27" s="269">
        <f>SUM(BE25:BE26)</f>
        <v>0</v>
      </c>
    </row>
    <row r="28" spans="1:15" ht="12.75">
      <c r="A28" s="207" t="s">
        <v>140</v>
      </c>
      <c r="B28" s="1373" t="s">
        <v>255</v>
      </c>
      <c r="C28" s="1374" t="s">
        <v>256</v>
      </c>
      <c r="D28" s="1375"/>
      <c r="E28" s="1376"/>
      <c r="F28" s="1376"/>
      <c r="G28" s="1377"/>
      <c r="H28" s="267"/>
      <c r="I28" s="267"/>
      <c r="O28" s="268">
        <v>1</v>
      </c>
    </row>
    <row r="29" spans="1:104" ht="20.4">
      <c r="A29" s="218">
        <v>8</v>
      </c>
      <c r="B29" s="1378" t="s">
        <v>1613</v>
      </c>
      <c r="C29" s="1379" t="s">
        <v>1614</v>
      </c>
      <c r="D29" s="1380" t="s">
        <v>1615</v>
      </c>
      <c r="E29" s="1381"/>
      <c r="F29" s="1381"/>
      <c r="G29" s="1382">
        <f>E29*F29</f>
        <v>0</v>
      </c>
      <c r="H29" s="266">
        <v>-1</v>
      </c>
      <c r="O29" s="268">
        <v>2</v>
      </c>
      <c r="AA29" s="266">
        <v>1</v>
      </c>
      <c r="AB29" s="266">
        <v>7</v>
      </c>
      <c r="AC29" s="266">
        <v>7</v>
      </c>
      <c r="AZ29" s="266">
        <v>2</v>
      </c>
      <c r="BA29" s="266">
        <f>IF(AZ29=1,G29,0)</f>
        <v>0</v>
      </c>
      <c r="BB29" s="266">
        <f>IF(AZ29=2,G29,0)</f>
        <v>0</v>
      </c>
      <c r="BC29" s="266">
        <f>IF(AZ29=3,G29,0)</f>
        <v>0</v>
      </c>
      <c r="BD29" s="266">
        <f>IF(AZ29=4,G29,0)</f>
        <v>0</v>
      </c>
      <c r="BE29" s="266">
        <f>IF(AZ29=5,G29,0)</f>
        <v>0</v>
      </c>
      <c r="CA29" s="268">
        <v>1</v>
      </c>
      <c r="CB29" s="268">
        <v>7</v>
      </c>
      <c r="CZ29" s="266">
        <v>0</v>
      </c>
    </row>
    <row r="30" spans="1:104" ht="12.75">
      <c r="A30" s="218">
        <v>9</v>
      </c>
      <c r="B30" s="1378" t="s">
        <v>1616</v>
      </c>
      <c r="C30" s="1379" t="s">
        <v>1617</v>
      </c>
      <c r="D30" s="1380" t="s">
        <v>196</v>
      </c>
      <c r="E30" s="1381"/>
      <c r="F30" s="1381"/>
      <c r="G30" s="1382">
        <f>E30*F30</f>
        <v>0</v>
      </c>
      <c r="H30" s="266">
        <v>-27</v>
      </c>
      <c r="O30" s="268">
        <v>2</v>
      </c>
      <c r="AA30" s="266">
        <v>1</v>
      </c>
      <c r="AB30" s="266">
        <v>7</v>
      </c>
      <c r="AC30" s="266">
        <v>7</v>
      </c>
      <c r="AZ30" s="266">
        <v>2</v>
      </c>
      <c r="BA30" s="266">
        <f>IF(AZ30=1,G30,0)</f>
        <v>0</v>
      </c>
      <c r="BB30" s="266">
        <f>IF(AZ30=2,G30,0)</f>
        <v>0</v>
      </c>
      <c r="BC30" s="266">
        <f>IF(AZ30=3,G30,0)</f>
        <v>0</v>
      </c>
      <c r="BD30" s="266">
        <f>IF(AZ30=4,G30,0)</f>
        <v>0</v>
      </c>
      <c r="BE30" s="266">
        <f>IF(AZ30=5,G30,0)</f>
        <v>0</v>
      </c>
      <c r="CA30" s="268">
        <v>1</v>
      </c>
      <c r="CB30" s="268">
        <v>7</v>
      </c>
      <c r="CZ30" s="266">
        <v>0</v>
      </c>
    </row>
    <row r="31" spans="1:104" ht="12.75">
      <c r="A31" s="218">
        <v>10</v>
      </c>
      <c r="B31" s="1378" t="s">
        <v>1618</v>
      </c>
      <c r="C31" s="1379" t="s">
        <v>1619</v>
      </c>
      <c r="D31" s="1380" t="s">
        <v>196</v>
      </c>
      <c r="E31" s="1381"/>
      <c r="F31" s="1381"/>
      <c r="G31" s="1382">
        <f>E31*F31</f>
        <v>0</v>
      </c>
      <c r="H31" s="266">
        <v>-27</v>
      </c>
      <c r="O31" s="268">
        <v>2</v>
      </c>
      <c r="AA31" s="266">
        <v>3</v>
      </c>
      <c r="AB31" s="266">
        <v>7</v>
      </c>
      <c r="AC31" s="266">
        <v>592891000</v>
      </c>
      <c r="AZ31" s="266">
        <v>2</v>
      </c>
      <c r="BA31" s="266">
        <f>IF(AZ31=1,G31,0)</f>
        <v>0</v>
      </c>
      <c r="BB31" s="266">
        <f>IF(AZ31=2,G31,0)</f>
        <v>0</v>
      </c>
      <c r="BC31" s="266">
        <f>IF(AZ31=3,G31,0)</f>
        <v>0</v>
      </c>
      <c r="BD31" s="266">
        <f>IF(AZ31=4,G31,0)</f>
        <v>0</v>
      </c>
      <c r="BE31" s="266">
        <f>IF(AZ31=5,G31,0)</f>
        <v>0</v>
      </c>
      <c r="CA31" s="268">
        <v>3</v>
      </c>
      <c r="CB31" s="268">
        <v>7</v>
      </c>
      <c r="CZ31" s="266">
        <v>0.056</v>
      </c>
    </row>
    <row r="32" spans="1:104" ht="12.75">
      <c r="A32" s="218">
        <v>11</v>
      </c>
      <c r="B32" s="1378" t="s">
        <v>263</v>
      </c>
      <c r="C32" s="1379" t="s">
        <v>1405</v>
      </c>
      <c r="D32" s="1380" t="s">
        <v>9</v>
      </c>
      <c r="E32" s="1381"/>
      <c r="F32" s="1381"/>
      <c r="G32" s="1382">
        <f>E32*F32</f>
        <v>0</v>
      </c>
      <c r="H32" s="266">
        <v>-1693.44</v>
      </c>
      <c r="O32" s="268">
        <v>2</v>
      </c>
      <c r="AA32" s="266">
        <v>7</v>
      </c>
      <c r="AB32" s="266">
        <v>1002</v>
      </c>
      <c r="AC32" s="266">
        <v>5</v>
      </c>
      <c r="AZ32" s="266">
        <v>2</v>
      </c>
      <c r="BA32" s="266">
        <f>IF(AZ32=1,G32,0)</f>
        <v>0</v>
      </c>
      <c r="BB32" s="266">
        <f>IF(AZ32=2,G32,0)</f>
        <v>0</v>
      </c>
      <c r="BC32" s="266">
        <f>IF(AZ32=3,G32,0)</f>
        <v>0</v>
      </c>
      <c r="BD32" s="266">
        <f>IF(AZ32=4,G32,0)</f>
        <v>0</v>
      </c>
      <c r="BE32" s="266">
        <f>IF(AZ32=5,G32,0)</f>
        <v>0</v>
      </c>
      <c r="CA32" s="268">
        <v>7</v>
      </c>
      <c r="CB32" s="268">
        <v>1002</v>
      </c>
      <c r="CZ32" s="266">
        <v>0</v>
      </c>
    </row>
    <row r="33" spans="1:57" ht="12.75">
      <c r="A33" s="236"/>
      <c r="B33" s="1387" t="s">
        <v>175</v>
      </c>
      <c r="C33" s="1374" t="str">
        <f>CONCATENATE(B28," ",C28)</f>
        <v>767 Konstrukce zámečnické</v>
      </c>
      <c r="D33" s="1375"/>
      <c r="E33" s="1388"/>
      <c r="F33" s="1389"/>
      <c r="G33" s="1390">
        <f>SUM(G28:G32)</f>
        <v>0</v>
      </c>
      <c r="O33" s="268">
        <v>4</v>
      </c>
      <c r="BA33" s="269">
        <f>SUM(BA28:BA32)</f>
        <v>0</v>
      </c>
      <c r="BB33" s="269">
        <f>SUM(BB28:BB32)</f>
        <v>0</v>
      </c>
      <c r="BC33" s="269">
        <f>SUM(BC28:BC32)</f>
        <v>0</v>
      </c>
      <c r="BD33" s="269">
        <f>SUM(BD28:BD32)</f>
        <v>0</v>
      </c>
      <c r="BE33" s="269">
        <f>SUM(BE28:BE32)</f>
        <v>0</v>
      </c>
    </row>
    <row r="34" spans="2:5" ht="12.75">
      <c r="B34" s="1302" t="s">
        <v>2726</v>
      </c>
      <c r="E34" s="266"/>
    </row>
    <row r="35" ht="12.75">
      <c r="E35" s="266"/>
    </row>
    <row r="36" ht="12.75">
      <c r="E36" s="266"/>
    </row>
    <row r="37" ht="12.75">
      <c r="E37" s="266"/>
    </row>
    <row r="38" ht="12.75">
      <c r="E38" s="266"/>
    </row>
    <row r="39" ht="12.75">
      <c r="E39" s="266"/>
    </row>
    <row r="40" ht="12.75">
      <c r="E40" s="266"/>
    </row>
    <row r="41" ht="12.75">
      <c r="E41" s="266"/>
    </row>
    <row r="42" ht="12.75">
      <c r="E42" s="266"/>
    </row>
    <row r="43" ht="12.75">
      <c r="E43" s="266"/>
    </row>
    <row r="44" ht="12.75">
      <c r="E44" s="266"/>
    </row>
    <row r="45" ht="12.75">
      <c r="E45" s="266"/>
    </row>
    <row r="46" ht="12.75">
      <c r="E46" s="266"/>
    </row>
    <row r="47" ht="12.75">
      <c r="E47" s="266"/>
    </row>
    <row r="48" ht="12.75">
      <c r="E48" s="266"/>
    </row>
    <row r="49" ht="12.75">
      <c r="E49" s="266"/>
    </row>
    <row r="50" ht="12.75">
      <c r="E50" s="266"/>
    </row>
    <row r="51" ht="12.75">
      <c r="E51" s="266"/>
    </row>
    <row r="52" ht="12.75">
      <c r="E52" s="266"/>
    </row>
    <row r="53" ht="12.75">
      <c r="E53" s="266"/>
    </row>
    <row r="54" ht="12.75">
      <c r="E54" s="266"/>
    </row>
    <row r="55" ht="12.75">
      <c r="E55" s="266"/>
    </row>
    <row r="56" ht="12.75">
      <c r="E56" s="266"/>
    </row>
    <row r="57" spans="1:7" ht="12.75">
      <c r="A57" s="270"/>
      <c r="B57" s="270"/>
      <c r="C57" s="270"/>
      <c r="D57" s="270"/>
      <c r="E57" s="270"/>
      <c r="F57" s="270"/>
      <c r="G57" s="270"/>
    </row>
    <row r="58" spans="1:7" ht="12.75">
      <c r="A58" s="270"/>
      <c r="B58" s="270"/>
      <c r="C58" s="270"/>
      <c r="D58" s="270"/>
      <c r="E58" s="270"/>
      <c r="F58" s="270"/>
      <c r="G58" s="270"/>
    </row>
    <row r="59" spans="1:7" ht="12.75">
      <c r="A59" s="270"/>
      <c r="B59" s="270"/>
      <c r="C59" s="270"/>
      <c r="D59" s="270"/>
      <c r="E59" s="270"/>
      <c r="F59" s="270"/>
      <c r="G59" s="270"/>
    </row>
    <row r="60" spans="1:7" ht="12.75">
      <c r="A60" s="270"/>
      <c r="B60" s="270"/>
      <c r="C60" s="270"/>
      <c r="D60" s="270"/>
      <c r="E60" s="270"/>
      <c r="F60" s="270"/>
      <c r="G60" s="270"/>
    </row>
    <row r="61" ht="12.75">
      <c r="E61" s="266"/>
    </row>
    <row r="62" ht="12.75">
      <c r="E62" s="266"/>
    </row>
    <row r="63" ht="12.75">
      <c r="E63" s="266"/>
    </row>
    <row r="64" ht="12.75">
      <c r="E64" s="266"/>
    </row>
    <row r="65" ht="12.75">
      <c r="E65" s="266"/>
    </row>
    <row r="66" ht="12.75">
      <c r="E66" s="266"/>
    </row>
    <row r="67" ht="12.75">
      <c r="E67" s="266"/>
    </row>
    <row r="68" ht="12.75">
      <c r="E68" s="266"/>
    </row>
    <row r="69" ht="12.75">
      <c r="E69" s="266"/>
    </row>
    <row r="70" ht="12.75">
      <c r="E70" s="266"/>
    </row>
    <row r="71" ht="12.75">
      <c r="E71" s="266"/>
    </row>
    <row r="72" ht="12.75">
      <c r="E72" s="266"/>
    </row>
    <row r="73" ht="12.75">
      <c r="E73" s="266"/>
    </row>
    <row r="74" ht="12.75">
      <c r="E74" s="266"/>
    </row>
    <row r="75" ht="12.75">
      <c r="E75" s="266"/>
    </row>
    <row r="76" ht="12.75">
      <c r="E76" s="266"/>
    </row>
    <row r="77" ht="12.75">
      <c r="E77" s="266"/>
    </row>
    <row r="78" ht="12.75">
      <c r="E78" s="266"/>
    </row>
    <row r="79" ht="12.75">
      <c r="E79" s="266"/>
    </row>
    <row r="80" ht="12.75">
      <c r="E80" s="266"/>
    </row>
    <row r="81" ht="12.75">
      <c r="E81" s="266"/>
    </row>
    <row r="82" ht="12.75">
      <c r="E82" s="266"/>
    </row>
    <row r="83" ht="12.75">
      <c r="E83" s="266"/>
    </row>
    <row r="84" ht="12.75">
      <c r="E84" s="266"/>
    </row>
    <row r="85" ht="12.75">
      <c r="E85" s="266"/>
    </row>
    <row r="86" ht="12.75">
      <c r="E86" s="266"/>
    </row>
    <row r="87" ht="12.75">
      <c r="E87" s="266"/>
    </row>
    <row r="88" ht="12.75">
      <c r="E88" s="266"/>
    </row>
    <row r="89" ht="12.75">
      <c r="E89" s="266"/>
    </row>
    <row r="90" ht="12.75">
      <c r="E90" s="266"/>
    </row>
    <row r="91" ht="12.75">
      <c r="E91" s="266"/>
    </row>
    <row r="92" spans="1:2" ht="12.75">
      <c r="A92" s="271"/>
      <c r="B92" s="271"/>
    </row>
    <row r="93" spans="1:7" ht="12.75">
      <c r="A93" s="270"/>
      <c r="B93" s="270"/>
      <c r="C93" s="273"/>
      <c r="D93" s="273"/>
      <c r="E93" s="274"/>
      <c r="F93" s="273"/>
      <c r="G93" s="275"/>
    </row>
    <row r="94" spans="1:7" ht="12.75">
      <c r="A94" s="276"/>
      <c r="B94" s="276"/>
      <c r="C94" s="270"/>
      <c r="D94" s="270"/>
      <c r="E94" s="277"/>
      <c r="F94" s="270"/>
      <c r="G94" s="270"/>
    </row>
    <row r="95" spans="1:7" ht="12.75">
      <c r="A95" s="270"/>
      <c r="B95" s="270"/>
      <c r="C95" s="270"/>
      <c r="D95" s="270"/>
      <c r="E95" s="277"/>
      <c r="F95" s="270"/>
      <c r="G95" s="270"/>
    </row>
    <row r="96" spans="1:7" ht="12.75">
      <c r="A96" s="270"/>
      <c r="B96" s="270"/>
      <c r="C96" s="270"/>
      <c r="D96" s="270"/>
      <c r="E96" s="277"/>
      <c r="F96" s="270"/>
      <c r="G96" s="270"/>
    </row>
    <row r="97" spans="1:7" ht="12.75">
      <c r="A97" s="270"/>
      <c r="B97" s="270"/>
      <c r="C97" s="270"/>
      <c r="D97" s="270"/>
      <c r="E97" s="277"/>
      <c r="F97" s="270"/>
      <c r="G97" s="270"/>
    </row>
    <row r="98" spans="1:7" ht="12.75">
      <c r="A98" s="270"/>
      <c r="B98" s="270"/>
      <c r="C98" s="270"/>
      <c r="D98" s="270"/>
      <c r="E98" s="277"/>
      <c r="F98" s="270"/>
      <c r="G98" s="270"/>
    </row>
    <row r="99" spans="1:7" ht="12.75">
      <c r="A99" s="270"/>
      <c r="B99" s="270"/>
      <c r="C99" s="270"/>
      <c r="D99" s="270"/>
      <c r="E99" s="277"/>
      <c r="F99" s="270"/>
      <c r="G99" s="270"/>
    </row>
    <row r="100" spans="1:7" ht="12.75">
      <c r="A100" s="270"/>
      <c r="B100" s="270"/>
      <c r="C100" s="270"/>
      <c r="D100" s="270"/>
      <c r="E100" s="277"/>
      <c r="F100" s="270"/>
      <c r="G100" s="270"/>
    </row>
    <row r="101" spans="1:7" ht="12.75">
      <c r="A101" s="270"/>
      <c r="B101" s="270"/>
      <c r="C101" s="270"/>
      <c r="D101" s="270"/>
      <c r="E101" s="277"/>
      <c r="F101" s="270"/>
      <c r="G101" s="270"/>
    </row>
    <row r="102" spans="1:7" ht="12.75">
      <c r="A102" s="270"/>
      <c r="B102" s="270"/>
      <c r="C102" s="270"/>
      <c r="D102" s="270"/>
      <c r="E102" s="277"/>
      <c r="F102" s="270"/>
      <c r="G102" s="270"/>
    </row>
    <row r="103" spans="1:7" ht="12.75">
      <c r="A103" s="270"/>
      <c r="B103" s="270"/>
      <c r="C103" s="270"/>
      <c r="D103" s="270"/>
      <c r="E103" s="277"/>
      <c r="F103" s="270"/>
      <c r="G103" s="270"/>
    </row>
    <row r="104" spans="1:7" ht="12.75">
      <c r="A104" s="270"/>
      <c r="B104" s="270"/>
      <c r="C104" s="270"/>
      <c r="D104" s="270"/>
      <c r="E104" s="277"/>
      <c r="F104" s="270"/>
      <c r="G104" s="270"/>
    </row>
    <row r="105" spans="1:7" ht="12.75">
      <c r="A105" s="270"/>
      <c r="B105" s="270"/>
      <c r="C105" s="270"/>
      <c r="D105" s="270"/>
      <c r="E105" s="277"/>
      <c r="F105" s="270"/>
      <c r="G105" s="270"/>
    </row>
    <row r="106" spans="1:7" ht="12.75">
      <c r="A106" s="270"/>
      <c r="B106" s="270"/>
      <c r="C106" s="270"/>
      <c r="D106" s="270"/>
      <c r="E106" s="277"/>
      <c r="F106" s="270"/>
      <c r="G106" s="270"/>
    </row>
  </sheetData>
  <mergeCells count="12">
    <mergeCell ref="C23:D23"/>
    <mergeCell ref="A1:G1"/>
    <mergeCell ref="A3:B3"/>
    <mergeCell ref="A4:B4"/>
    <mergeCell ref="E4:G4"/>
    <mergeCell ref="C9:D9"/>
    <mergeCell ref="C10:D10"/>
    <mergeCell ref="C11:D11"/>
    <mergeCell ref="C12:D12"/>
    <mergeCell ref="C20:D20"/>
    <mergeCell ref="C21:D21"/>
    <mergeCell ref="C22:D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74"/>
  <sheetViews>
    <sheetView zoomScaleSheetLayoutView="75" workbookViewId="0" topLeftCell="A7">
      <selection activeCell="V23" sqref="V23"/>
    </sheetView>
  </sheetViews>
  <sheetFormatPr defaultColWidth="9.00390625" defaultRowHeight="12.75"/>
  <cols>
    <col min="1" max="1" width="5.00390625" style="806" customWidth="1"/>
    <col min="2" max="2" width="11.00390625" style="806" customWidth="1"/>
    <col min="3" max="3" width="39.125" style="806" customWidth="1"/>
    <col min="4" max="4" width="3.375" style="806" customWidth="1"/>
    <col min="5" max="5" width="9.00390625" style="806" customWidth="1"/>
    <col min="6" max="6" width="9.875" style="806" customWidth="1"/>
    <col min="7" max="7" width="15.125" style="806" customWidth="1"/>
    <col min="8" max="8" width="10.125" style="806" bestFit="1" customWidth="1"/>
    <col min="9" max="9" width="10.375" style="806" customWidth="1"/>
    <col min="10" max="10" width="10.125" style="806" bestFit="1" customWidth="1"/>
    <col min="11" max="256" width="8.875" style="806" customWidth="1"/>
    <col min="257" max="257" width="5.00390625" style="806" customWidth="1"/>
    <col min="258" max="258" width="11.00390625" style="806" customWidth="1"/>
    <col min="259" max="259" width="39.125" style="806" customWidth="1"/>
    <col min="260" max="260" width="3.375" style="806" customWidth="1"/>
    <col min="261" max="261" width="9.00390625" style="806" customWidth="1"/>
    <col min="262" max="262" width="9.875" style="806" customWidth="1"/>
    <col min="263" max="263" width="15.125" style="806" customWidth="1"/>
    <col min="264" max="264" width="10.125" style="806" bestFit="1" customWidth="1"/>
    <col min="265" max="265" width="10.375" style="806" customWidth="1"/>
    <col min="266" max="266" width="10.125" style="806" bestFit="1" customWidth="1"/>
    <col min="267" max="512" width="8.875" style="806" customWidth="1"/>
    <col min="513" max="513" width="5.00390625" style="806" customWidth="1"/>
    <col min="514" max="514" width="11.00390625" style="806" customWidth="1"/>
    <col min="515" max="515" width="39.125" style="806" customWidth="1"/>
    <col min="516" max="516" width="3.375" style="806" customWidth="1"/>
    <col min="517" max="517" width="9.00390625" style="806" customWidth="1"/>
    <col min="518" max="518" width="9.875" style="806" customWidth="1"/>
    <col min="519" max="519" width="15.125" style="806" customWidth="1"/>
    <col min="520" max="520" width="10.125" style="806" bestFit="1" customWidth="1"/>
    <col min="521" max="521" width="10.375" style="806" customWidth="1"/>
    <col min="522" max="522" width="10.125" style="806" bestFit="1" customWidth="1"/>
    <col min="523" max="768" width="8.875" style="806" customWidth="1"/>
    <col min="769" max="769" width="5.00390625" style="806" customWidth="1"/>
    <col min="770" max="770" width="11.00390625" style="806" customWidth="1"/>
    <col min="771" max="771" width="39.125" style="806" customWidth="1"/>
    <col min="772" max="772" width="3.375" style="806" customWidth="1"/>
    <col min="773" max="773" width="9.00390625" style="806" customWidth="1"/>
    <col min="774" max="774" width="9.875" style="806" customWidth="1"/>
    <col min="775" max="775" width="15.125" style="806" customWidth="1"/>
    <col min="776" max="776" width="10.125" style="806" bestFit="1" customWidth="1"/>
    <col min="777" max="777" width="10.375" style="806" customWidth="1"/>
    <col min="778" max="778" width="10.125" style="806" bestFit="1" customWidth="1"/>
    <col min="779" max="1024" width="8.875" style="806" customWidth="1"/>
    <col min="1025" max="1025" width="5.00390625" style="806" customWidth="1"/>
    <col min="1026" max="1026" width="11.00390625" style="806" customWidth="1"/>
    <col min="1027" max="1027" width="39.125" style="806" customWidth="1"/>
    <col min="1028" max="1028" width="3.375" style="806" customWidth="1"/>
    <col min="1029" max="1029" width="9.00390625" style="806" customWidth="1"/>
    <col min="1030" max="1030" width="9.875" style="806" customWidth="1"/>
    <col min="1031" max="1031" width="15.125" style="806" customWidth="1"/>
    <col min="1032" max="1032" width="10.125" style="806" bestFit="1" customWidth="1"/>
    <col min="1033" max="1033" width="10.375" style="806" customWidth="1"/>
    <col min="1034" max="1034" width="10.125" style="806" bestFit="1" customWidth="1"/>
    <col min="1035" max="1280" width="8.875" style="806" customWidth="1"/>
    <col min="1281" max="1281" width="5.00390625" style="806" customWidth="1"/>
    <col min="1282" max="1282" width="11.00390625" style="806" customWidth="1"/>
    <col min="1283" max="1283" width="39.125" style="806" customWidth="1"/>
    <col min="1284" max="1284" width="3.375" style="806" customWidth="1"/>
    <col min="1285" max="1285" width="9.00390625" style="806" customWidth="1"/>
    <col min="1286" max="1286" width="9.875" style="806" customWidth="1"/>
    <col min="1287" max="1287" width="15.125" style="806" customWidth="1"/>
    <col min="1288" max="1288" width="10.125" style="806" bestFit="1" customWidth="1"/>
    <col min="1289" max="1289" width="10.375" style="806" customWidth="1"/>
    <col min="1290" max="1290" width="10.125" style="806" bestFit="1" customWidth="1"/>
    <col min="1291" max="1536" width="8.875" style="806" customWidth="1"/>
    <col min="1537" max="1537" width="5.00390625" style="806" customWidth="1"/>
    <col min="1538" max="1538" width="11.00390625" style="806" customWidth="1"/>
    <col min="1539" max="1539" width="39.125" style="806" customWidth="1"/>
    <col min="1540" max="1540" width="3.375" style="806" customWidth="1"/>
    <col min="1541" max="1541" width="9.00390625" style="806" customWidth="1"/>
    <col min="1542" max="1542" width="9.875" style="806" customWidth="1"/>
    <col min="1543" max="1543" width="15.125" style="806" customWidth="1"/>
    <col min="1544" max="1544" width="10.125" style="806" bestFit="1" customWidth="1"/>
    <col min="1545" max="1545" width="10.375" style="806" customWidth="1"/>
    <col min="1546" max="1546" width="10.125" style="806" bestFit="1" customWidth="1"/>
    <col min="1547" max="1792" width="8.875" style="806" customWidth="1"/>
    <col min="1793" max="1793" width="5.00390625" style="806" customWidth="1"/>
    <col min="1794" max="1794" width="11.00390625" style="806" customWidth="1"/>
    <col min="1795" max="1795" width="39.125" style="806" customWidth="1"/>
    <col min="1796" max="1796" width="3.375" style="806" customWidth="1"/>
    <col min="1797" max="1797" width="9.00390625" style="806" customWidth="1"/>
    <col min="1798" max="1798" width="9.875" style="806" customWidth="1"/>
    <col min="1799" max="1799" width="15.125" style="806" customWidth="1"/>
    <col min="1800" max="1800" width="10.125" style="806" bestFit="1" customWidth="1"/>
    <col min="1801" max="1801" width="10.375" style="806" customWidth="1"/>
    <col min="1802" max="1802" width="10.125" style="806" bestFit="1" customWidth="1"/>
    <col min="1803" max="2048" width="8.875" style="806" customWidth="1"/>
    <col min="2049" max="2049" width="5.00390625" style="806" customWidth="1"/>
    <col min="2050" max="2050" width="11.00390625" style="806" customWidth="1"/>
    <col min="2051" max="2051" width="39.125" style="806" customWidth="1"/>
    <col min="2052" max="2052" width="3.375" style="806" customWidth="1"/>
    <col min="2053" max="2053" width="9.00390625" style="806" customWidth="1"/>
    <col min="2054" max="2054" width="9.875" style="806" customWidth="1"/>
    <col min="2055" max="2055" width="15.125" style="806" customWidth="1"/>
    <col min="2056" max="2056" width="10.125" style="806" bestFit="1" customWidth="1"/>
    <col min="2057" max="2057" width="10.375" style="806" customWidth="1"/>
    <col min="2058" max="2058" width="10.125" style="806" bestFit="1" customWidth="1"/>
    <col min="2059" max="2304" width="8.875" style="806" customWidth="1"/>
    <col min="2305" max="2305" width="5.00390625" style="806" customWidth="1"/>
    <col min="2306" max="2306" width="11.00390625" style="806" customWidth="1"/>
    <col min="2307" max="2307" width="39.125" style="806" customWidth="1"/>
    <col min="2308" max="2308" width="3.375" style="806" customWidth="1"/>
    <col min="2309" max="2309" width="9.00390625" style="806" customWidth="1"/>
    <col min="2310" max="2310" width="9.875" style="806" customWidth="1"/>
    <col min="2311" max="2311" width="15.125" style="806" customWidth="1"/>
    <col min="2312" max="2312" width="10.125" style="806" bestFit="1" customWidth="1"/>
    <col min="2313" max="2313" width="10.375" style="806" customWidth="1"/>
    <col min="2314" max="2314" width="10.125" style="806" bestFit="1" customWidth="1"/>
    <col min="2315" max="2560" width="8.875" style="806" customWidth="1"/>
    <col min="2561" max="2561" width="5.00390625" style="806" customWidth="1"/>
    <col min="2562" max="2562" width="11.00390625" style="806" customWidth="1"/>
    <col min="2563" max="2563" width="39.125" style="806" customWidth="1"/>
    <col min="2564" max="2564" width="3.375" style="806" customWidth="1"/>
    <col min="2565" max="2565" width="9.00390625" style="806" customWidth="1"/>
    <col min="2566" max="2566" width="9.875" style="806" customWidth="1"/>
    <col min="2567" max="2567" width="15.125" style="806" customWidth="1"/>
    <col min="2568" max="2568" width="10.125" style="806" bestFit="1" customWidth="1"/>
    <col min="2569" max="2569" width="10.375" style="806" customWidth="1"/>
    <col min="2570" max="2570" width="10.125" style="806" bestFit="1" customWidth="1"/>
    <col min="2571" max="2816" width="8.875" style="806" customWidth="1"/>
    <col min="2817" max="2817" width="5.00390625" style="806" customWidth="1"/>
    <col min="2818" max="2818" width="11.00390625" style="806" customWidth="1"/>
    <col min="2819" max="2819" width="39.125" style="806" customWidth="1"/>
    <col min="2820" max="2820" width="3.375" style="806" customWidth="1"/>
    <col min="2821" max="2821" width="9.00390625" style="806" customWidth="1"/>
    <col min="2822" max="2822" width="9.875" style="806" customWidth="1"/>
    <col min="2823" max="2823" width="15.125" style="806" customWidth="1"/>
    <col min="2824" max="2824" width="10.125" style="806" bestFit="1" customWidth="1"/>
    <col min="2825" max="2825" width="10.375" style="806" customWidth="1"/>
    <col min="2826" max="2826" width="10.125" style="806" bestFit="1" customWidth="1"/>
    <col min="2827" max="3072" width="8.875" style="806" customWidth="1"/>
    <col min="3073" max="3073" width="5.00390625" style="806" customWidth="1"/>
    <col min="3074" max="3074" width="11.00390625" style="806" customWidth="1"/>
    <col min="3075" max="3075" width="39.125" style="806" customWidth="1"/>
    <col min="3076" max="3076" width="3.375" style="806" customWidth="1"/>
    <col min="3077" max="3077" width="9.00390625" style="806" customWidth="1"/>
    <col min="3078" max="3078" width="9.875" style="806" customWidth="1"/>
    <col min="3079" max="3079" width="15.125" style="806" customWidth="1"/>
    <col min="3080" max="3080" width="10.125" style="806" bestFit="1" customWidth="1"/>
    <col min="3081" max="3081" width="10.375" style="806" customWidth="1"/>
    <col min="3082" max="3082" width="10.125" style="806" bestFit="1" customWidth="1"/>
    <col min="3083" max="3328" width="8.875" style="806" customWidth="1"/>
    <col min="3329" max="3329" width="5.00390625" style="806" customWidth="1"/>
    <col min="3330" max="3330" width="11.00390625" style="806" customWidth="1"/>
    <col min="3331" max="3331" width="39.125" style="806" customWidth="1"/>
    <col min="3332" max="3332" width="3.375" style="806" customWidth="1"/>
    <col min="3333" max="3333" width="9.00390625" style="806" customWidth="1"/>
    <col min="3334" max="3334" width="9.875" style="806" customWidth="1"/>
    <col min="3335" max="3335" width="15.125" style="806" customWidth="1"/>
    <col min="3336" max="3336" width="10.125" style="806" bestFit="1" customWidth="1"/>
    <col min="3337" max="3337" width="10.375" style="806" customWidth="1"/>
    <col min="3338" max="3338" width="10.125" style="806" bestFit="1" customWidth="1"/>
    <col min="3339" max="3584" width="8.875" style="806" customWidth="1"/>
    <col min="3585" max="3585" width="5.00390625" style="806" customWidth="1"/>
    <col min="3586" max="3586" width="11.00390625" style="806" customWidth="1"/>
    <col min="3587" max="3587" width="39.125" style="806" customWidth="1"/>
    <col min="3588" max="3588" width="3.375" style="806" customWidth="1"/>
    <col min="3589" max="3589" width="9.00390625" style="806" customWidth="1"/>
    <col min="3590" max="3590" width="9.875" style="806" customWidth="1"/>
    <col min="3591" max="3591" width="15.125" style="806" customWidth="1"/>
    <col min="3592" max="3592" width="10.125" style="806" bestFit="1" customWidth="1"/>
    <col min="3593" max="3593" width="10.375" style="806" customWidth="1"/>
    <col min="3594" max="3594" width="10.125" style="806" bestFit="1" customWidth="1"/>
    <col min="3595" max="3840" width="8.875" style="806" customWidth="1"/>
    <col min="3841" max="3841" width="5.00390625" style="806" customWidth="1"/>
    <col min="3842" max="3842" width="11.00390625" style="806" customWidth="1"/>
    <col min="3843" max="3843" width="39.125" style="806" customWidth="1"/>
    <col min="3844" max="3844" width="3.375" style="806" customWidth="1"/>
    <col min="3845" max="3845" width="9.00390625" style="806" customWidth="1"/>
    <col min="3846" max="3846" width="9.875" style="806" customWidth="1"/>
    <col min="3847" max="3847" width="15.125" style="806" customWidth="1"/>
    <col min="3848" max="3848" width="10.125" style="806" bestFit="1" customWidth="1"/>
    <col min="3849" max="3849" width="10.375" style="806" customWidth="1"/>
    <col min="3850" max="3850" width="10.125" style="806" bestFit="1" customWidth="1"/>
    <col min="3851" max="4096" width="8.875" style="806" customWidth="1"/>
    <col min="4097" max="4097" width="5.00390625" style="806" customWidth="1"/>
    <col min="4098" max="4098" width="11.00390625" style="806" customWidth="1"/>
    <col min="4099" max="4099" width="39.125" style="806" customWidth="1"/>
    <col min="4100" max="4100" width="3.375" style="806" customWidth="1"/>
    <col min="4101" max="4101" width="9.00390625" style="806" customWidth="1"/>
    <col min="4102" max="4102" width="9.875" style="806" customWidth="1"/>
    <col min="4103" max="4103" width="15.125" style="806" customWidth="1"/>
    <col min="4104" max="4104" width="10.125" style="806" bestFit="1" customWidth="1"/>
    <col min="4105" max="4105" width="10.375" style="806" customWidth="1"/>
    <col min="4106" max="4106" width="10.125" style="806" bestFit="1" customWidth="1"/>
    <col min="4107" max="4352" width="8.875" style="806" customWidth="1"/>
    <col min="4353" max="4353" width="5.00390625" style="806" customWidth="1"/>
    <col min="4354" max="4354" width="11.00390625" style="806" customWidth="1"/>
    <col min="4355" max="4355" width="39.125" style="806" customWidth="1"/>
    <col min="4356" max="4356" width="3.375" style="806" customWidth="1"/>
    <col min="4357" max="4357" width="9.00390625" style="806" customWidth="1"/>
    <col min="4358" max="4358" width="9.875" style="806" customWidth="1"/>
    <col min="4359" max="4359" width="15.125" style="806" customWidth="1"/>
    <col min="4360" max="4360" width="10.125" style="806" bestFit="1" customWidth="1"/>
    <col min="4361" max="4361" width="10.375" style="806" customWidth="1"/>
    <col min="4362" max="4362" width="10.125" style="806" bestFit="1" customWidth="1"/>
    <col min="4363" max="4608" width="8.875" style="806" customWidth="1"/>
    <col min="4609" max="4609" width="5.00390625" style="806" customWidth="1"/>
    <col min="4610" max="4610" width="11.00390625" style="806" customWidth="1"/>
    <col min="4611" max="4611" width="39.125" style="806" customWidth="1"/>
    <col min="4612" max="4612" width="3.375" style="806" customWidth="1"/>
    <col min="4613" max="4613" width="9.00390625" style="806" customWidth="1"/>
    <col min="4614" max="4614" width="9.875" style="806" customWidth="1"/>
    <col min="4615" max="4615" width="15.125" style="806" customWidth="1"/>
    <col min="4616" max="4616" width="10.125" style="806" bestFit="1" customWidth="1"/>
    <col min="4617" max="4617" width="10.375" style="806" customWidth="1"/>
    <col min="4618" max="4618" width="10.125" style="806" bestFit="1" customWidth="1"/>
    <col min="4619" max="4864" width="8.875" style="806" customWidth="1"/>
    <col min="4865" max="4865" width="5.00390625" style="806" customWidth="1"/>
    <col min="4866" max="4866" width="11.00390625" style="806" customWidth="1"/>
    <col min="4867" max="4867" width="39.125" style="806" customWidth="1"/>
    <col min="4868" max="4868" width="3.375" style="806" customWidth="1"/>
    <col min="4869" max="4869" width="9.00390625" style="806" customWidth="1"/>
    <col min="4870" max="4870" width="9.875" style="806" customWidth="1"/>
    <col min="4871" max="4871" width="15.125" style="806" customWidth="1"/>
    <col min="4872" max="4872" width="10.125" style="806" bestFit="1" customWidth="1"/>
    <col min="4873" max="4873" width="10.375" style="806" customWidth="1"/>
    <col min="4874" max="4874" width="10.125" style="806" bestFit="1" customWidth="1"/>
    <col min="4875" max="5120" width="8.875" style="806" customWidth="1"/>
    <col min="5121" max="5121" width="5.00390625" style="806" customWidth="1"/>
    <col min="5122" max="5122" width="11.00390625" style="806" customWidth="1"/>
    <col min="5123" max="5123" width="39.125" style="806" customWidth="1"/>
    <col min="5124" max="5124" width="3.375" style="806" customWidth="1"/>
    <col min="5125" max="5125" width="9.00390625" style="806" customWidth="1"/>
    <col min="5126" max="5126" width="9.875" style="806" customWidth="1"/>
    <col min="5127" max="5127" width="15.125" style="806" customWidth="1"/>
    <col min="5128" max="5128" width="10.125" style="806" bestFit="1" customWidth="1"/>
    <col min="5129" max="5129" width="10.375" style="806" customWidth="1"/>
    <col min="5130" max="5130" width="10.125" style="806" bestFit="1" customWidth="1"/>
    <col min="5131" max="5376" width="8.875" style="806" customWidth="1"/>
    <col min="5377" max="5377" width="5.00390625" style="806" customWidth="1"/>
    <col min="5378" max="5378" width="11.00390625" style="806" customWidth="1"/>
    <col min="5379" max="5379" width="39.125" style="806" customWidth="1"/>
    <col min="5380" max="5380" width="3.375" style="806" customWidth="1"/>
    <col min="5381" max="5381" width="9.00390625" style="806" customWidth="1"/>
    <col min="5382" max="5382" width="9.875" style="806" customWidth="1"/>
    <col min="5383" max="5383" width="15.125" style="806" customWidth="1"/>
    <col min="5384" max="5384" width="10.125" style="806" bestFit="1" customWidth="1"/>
    <col min="5385" max="5385" width="10.375" style="806" customWidth="1"/>
    <col min="5386" max="5386" width="10.125" style="806" bestFit="1" customWidth="1"/>
    <col min="5387" max="5632" width="8.875" style="806" customWidth="1"/>
    <col min="5633" max="5633" width="5.00390625" style="806" customWidth="1"/>
    <col min="5634" max="5634" width="11.00390625" style="806" customWidth="1"/>
    <col min="5635" max="5635" width="39.125" style="806" customWidth="1"/>
    <col min="5636" max="5636" width="3.375" style="806" customWidth="1"/>
    <col min="5637" max="5637" width="9.00390625" style="806" customWidth="1"/>
    <col min="5638" max="5638" width="9.875" style="806" customWidth="1"/>
    <col min="5639" max="5639" width="15.125" style="806" customWidth="1"/>
    <col min="5640" max="5640" width="10.125" style="806" bestFit="1" customWidth="1"/>
    <col min="5641" max="5641" width="10.375" style="806" customWidth="1"/>
    <col min="5642" max="5642" width="10.125" style="806" bestFit="1" customWidth="1"/>
    <col min="5643" max="5888" width="8.875" style="806" customWidth="1"/>
    <col min="5889" max="5889" width="5.00390625" style="806" customWidth="1"/>
    <col min="5890" max="5890" width="11.00390625" style="806" customWidth="1"/>
    <col min="5891" max="5891" width="39.125" style="806" customWidth="1"/>
    <col min="5892" max="5892" width="3.375" style="806" customWidth="1"/>
    <col min="5893" max="5893" width="9.00390625" style="806" customWidth="1"/>
    <col min="5894" max="5894" width="9.875" style="806" customWidth="1"/>
    <col min="5895" max="5895" width="15.125" style="806" customWidth="1"/>
    <col min="5896" max="5896" width="10.125" style="806" bestFit="1" customWidth="1"/>
    <col min="5897" max="5897" width="10.375" style="806" customWidth="1"/>
    <col min="5898" max="5898" width="10.125" style="806" bestFit="1" customWidth="1"/>
    <col min="5899" max="6144" width="8.875" style="806" customWidth="1"/>
    <col min="6145" max="6145" width="5.00390625" style="806" customWidth="1"/>
    <col min="6146" max="6146" width="11.00390625" style="806" customWidth="1"/>
    <col min="6147" max="6147" width="39.125" style="806" customWidth="1"/>
    <col min="6148" max="6148" width="3.375" style="806" customWidth="1"/>
    <col min="6149" max="6149" width="9.00390625" style="806" customWidth="1"/>
    <col min="6150" max="6150" width="9.875" style="806" customWidth="1"/>
    <col min="6151" max="6151" width="15.125" style="806" customWidth="1"/>
    <col min="6152" max="6152" width="10.125" style="806" bestFit="1" customWidth="1"/>
    <col min="6153" max="6153" width="10.375" style="806" customWidth="1"/>
    <col min="6154" max="6154" width="10.125" style="806" bestFit="1" customWidth="1"/>
    <col min="6155" max="6400" width="8.875" style="806" customWidth="1"/>
    <col min="6401" max="6401" width="5.00390625" style="806" customWidth="1"/>
    <col min="6402" max="6402" width="11.00390625" style="806" customWidth="1"/>
    <col min="6403" max="6403" width="39.125" style="806" customWidth="1"/>
    <col min="6404" max="6404" width="3.375" style="806" customWidth="1"/>
    <col min="6405" max="6405" width="9.00390625" style="806" customWidth="1"/>
    <col min="6406" max="6406" width="9.875" style="806" customWidth="1"/>
    <col min="6407" max="6407" width="15.125" style="806" customWidth="1"/>
    <col min="6408" max="6408" width="10.125" style="806" bestFit="1" customWidth="1"/>
    <col min="6409" max="6409" width="10.375" style="806" customWidth="1"/>
    <col min="6410" max="6410" width="10.125" style="806" bestFit="1" customWidth="1"/>
    <col min="6411" max="6656" width="8.875" style="806" customWidth="1"/>
    <col min="6657" max="6657" width="5.00390625" style="806" customWidth="1"/>
    <col min="6658" max="6658" width="11.00390625" style="806" customWidth="1"/>
    <col min="6659" max="6659" width="39.125" style="806" customWidth="1"/>
    <col min="6660" max="6660" width="3.375" style="806" customWidth="1"/>
    <col min="6661" max="6661" width="9.00390625" style="806" customWidth="1"/>
    <col min="6662" max="6662" width="9.875" style="806" customWidth="1"/>
    <col min="6663" max="6663" width="15.125" style="806" customWidth="1"/>
    <col min="6664" max="6664" width="10.125" style="806" bestFit="1" customWidth="1"/>
    <col min="6665" max="6665" width="10.375" style="806" customWidth="1"/>
    <col min="6666" max="6666" width="10.125" style="806" bestFit="1" customWidth="1"/>
    <col min="6667" max="6912" width="8.875" style="806" customWidth="1"/>
    <col min="6913" max="6913" width="5.00390625" style="806" customWidth="1"/>
    <col min="6914" max="6914" width="11.00390625" style="806" customWidth="1"/>
    <col min="6915" max="6915" width="39.125" style="806" customWidth="1"/>
    <col min="6916" max="6916" width="3.375" style="806" customWidth="1"/>
    <col min="6917" max="6917" width="9.00390625" style="806" customWidth="1"/>
    <col min="6918" max="6918" width="9.875" style="806" customWidth="1"/>
    <col min="6919" max="6919" width="15.125" style="806" customWidth="1"/>
    <col min="6920" max="6920" width="10.125" style="806" bestFit="1" customWidth="1"/>
    <col min="6921" max="6921" width="10.375" style="806" customWidth="1"/>
    <col min="6922" max="6922" width="10.125" style="806" bestFit="1" customWidth="1"/>
    <col min="6923" max="7168" width="8.875" style="806" customWidth="1"/>
    <col min="7169" max="7169" width="5.00390625" style="806" customWidth="1"/>
    <col min="7170" max="7170" width="11.00390625" style="806" customWidth="1"/>
    <col min="7171" max="7171" width="39.125" style="806" customWidth="1"/>
    <col min="7172" max="7172" width="3.375" style="806" customWidth="1"/>
    <col min="7173" max="7173" width="9.00390625" style="806" customWidth="1"/>
    <col min="7174" max="7174" width="9.875" style="806" customWidth="1"/>
    <col min="7175" max="7175" width="15.125" style="806" customWidth="1"/>
    <col min="7176" max="7176" width="10.125" style="806" bestFit="1" customWidth="1"/>
    <col min="7177" max="7177" width="10.375" style="806" customWidth="1"/>
    <col min="7178" max="7178" width="10.125" style="806" bestFit="1" customWidth="1"/>
    <col min="7179" max="7424" width="8.875" style="806" customWidth="1"/>
    <col min="7425" max="7425" width="5.00390625" style="806" customWidth="1"/>
    <col min="7426" max="7426" width="11.00390625" style="806" customWidth="1"/>
    <col min="7427" max="7427" width="39.125" style="806" customWidth="1"/>
    <col min="7428" max="7428" width="3.375" style="806" customWidth="1"/>
    <col min="7429" max="7429" width="9.00390625" style="806" customWidth="1"/>
    <col min="7430" max="7430" width="9.875" style="806" customWidth="1"/>
    <col min="7431" max="7431" width="15.125" style="806" customWidth="1"/>
    <col min="7432" max="7432" width="10.125" style="806" bestFit="1" customWidth="1"/>
    <col min="7433" max="7433" width="10.375" style="806" customWidth="1"/>
    <col min="7434" max="7434" width="10.125" style="806" bestFit="1" customWidth="1"/>
    <col min="7435" max="7680" width="8.875" style="806" customWidth="1"/>
    <col min="7681" max="7681" width="5.00390625" style="806" customWidth="1"/>
    <col min="7682" max="7682" width="11.00390625" style="806" customWidth="1"/>
    <col min="7683" max="7683" width="39.125" style="806" customWidth="1"/>
    <col min="7684" max="7684" width="3.375" style="806" customWidth="1"/>
    <col min="7685" max="7685" width="9.00390625" style="806" customWidth="1"/>
    <col min="7686" max="7686" width="9.875" style="806" customWidth="1"/>
    <col min="7687" max="7687" width="15.125" style="806" customWidth="1"/>
    <col min="7688" max="7688" width="10.125" style="806" bestFit="1" customWidth="1"/>
    <col min="7689" max="7689" width="10.375" style="806" customWidth="1"/>
    <col min="7690" max="7690" width="10.125" style="806" bestFit="1" customWidth="1"/>
    <col min="7691" max="7936" width="8.875" style="806" customWidth="1"/>
    <col min="7937" max="7937" width="5.00390625" style="806" customWidth="1"/>
    <col min="7938" max="7938" width="11.00390625" style="806" customWidth="1"/>
    <col min="7939" max="7939" width="39.125" style="806" customWidth="1"/>
    <col min="7940" max="7940" width="3.375" style="806" customWidth="1"/>
    <col min="7941" max="7941" width="9.00390625" style="806" customWidth="1"/>
    <col min="7942" max="7942" width="9.875" style="806" customWidth="1"/>
    <col min="7943" max="7943" width="15.125" style="806" customWidth="1"/>
    <col min="7944" max="7944" width="10.125" style="806" bestFit="1" customWidth="1"/>
    <col min="7945" max="7945" width="10.375" style="806" customWidth="1"/>
    <col min="7946" max="7946" width="10.125" style="806" bestFit="1" customWidth="1"/>
    <col min="7947" max="8192" width="8.875" style="806" customWidth="1"/>
    <col min="8193" max="8193" width="5.00390625" style="806" customWidth="1"/>
    <col min="8194" max="8194" width="11.00390625" style="806" customWidth="1"/>
    <col min="8195" max="8195" width="39.125" style="806" customWidth="1"/>
    <col min="8196" max="8196" width="3.375" style="806" customWidth="1"/>
    <col min="8197" max="8197" width="9.00390625" style="806" customWidth="1"/>
    <col min="8198" max="8198" width="9.875" style="806" customWidth="1"/>
    <col min="8199" max="8199" width="15.125" style="806" customWidth="1"/>
    <col min="8200" max="8200" width="10.125" style="806" bestFit="1" customWidth="1"/>
    <col min="8201" max="8201" width="10.375" style="806" customWidth="1"/>
    <col min="8202" max="8202" width="10.125" style="806" bestFit="1" customWidth="1"/>
    <col min="8203" max="8448" width="8.875" style="806" customWidth="1"/>
    <col min="8449" max="8449" width="5.00390625" style="806" customWidth="1"/>
    <col min="8450" max="8450" width="11.00390625" style="806" customWidth="1"/>
    <col min="8451" max="8451" width="39.125" style="806" customWidth="1"/>
    <col min="8452" max="8452" width="3.375" style="806" customWidth="1"/>
    <col min="8453" max="8453" width="9.00390625" style="806" customWidth="1"/>
    <col min="8454" max="8454" width="9.875" style="806" customWidth="1"/>
    <col min="8455" max="8455" width="15.125" style="806" customWidth="1"/>
    <col min="8456" max="8456" width="10.125" style="806" bestFit="1" customWidth="1"/>
    <col min="8457" max="8457" width="10.375" style="806" customWidth="1"/>
    <col min="8458" max="8458" width="10.125" style="806" bestFit="1" customWidth="1"/>
    <col min="8459" max="8704" width="8.875" style="806" customWidth="1"/>
    <col min="8705" max="8705" width="5.00390625" style="806" customWidth="1"/>
    <col min="8706" max="8706" width="11.00390625" style="806" customWidth="1"/>
    <col min="8707" max="8707" width="39.125" style="806" customWidth="1"/>
    <col min="8708" max="8708" width="3.375" style="806" customWidth="1"/>
    <col min="8709" max="8709" width="9.00390625" style="806" customWidth="1"/>
    <col min="8710" max="8710" width="9.875" style="806" customWidth="1"/>
    <col min="8711" max="8711" width="15.125" style="806" customWidth="1"/>
    <col min="8712" max="8712" width="10.125" style="806" bestFit="1" customWidth="1"/>
    <col min="8713" max="8713" width="10.375" style="806" customWidth="1"/>
    <col min="8714" max="8714" width="10.125" style="806" bestFit="1" customWidth="1"/>
    <col min="8715" max="8960" width="8.875" style="806" customWidth="1"/>
    <col min="8961" max="8961" width="5.00390625" style="806" customWidth="1"/>
    <col min="8962" max="8962" width="11.00390625" style="806" customWidth="1"/>
    <col min="8963" max="8963" width="39.125" style="806" customWidth="1"/>
    <col min="8964" max="8964" width="3.375" style="806" customWidth="1"/>
    <col min="8965" max="8965" width="9.00390625" style="806" customWidth="1"/>
    <col min="8966" max="8966" width="9.875" style="806" customWidth="1"/>
    <col min="8967" max="8967" width="15.125" style="806" customWidth="1"/>
    <col min="8968" max="8968" width="10.125" style="806" bestFit="1" customWidth="1"/>
    <col min="8969" max="8969" width="10.375" style="806" customWidth="1"/>
    <col min="8970" max="8970" width="10.125" style="806" bestFit="1" customWidth="1"/>
    <col min="8971" max="9216" width="8.875" style="806" customWidth="1"/>
    <col min="9217" max="9217" width="5.00390625" style="806" customWidth="1"/>
    <col min="9218" max="9218" width="11.00390625" style="806" customWidth="1"/>
    <col min="9219" max="9219" width="39.125" style="806" customWidth="1"/>
    <col min="9220" max="9220" width="3.375" style="806" customWidth="1"/>
    <col min="9221" max="9221" width="9.00390625" style="806" customWidth="1"/>
    <col min="9222" max="9222" width="9.875" style="806" customWidth="1"/>
    <col min="9223" max="9223" width="15.125" style="806" customWidth="1"/>
    <col min="9224" max="9224" width="10.125" style="806" bestFit="1" customWidth="1"/>
    <col min="9225" max="9225" width="10.375" style="806" customWidth="1"/>
    <col min="9226" max="9226" width="10.125" style="806" bestFit="1" customWidth="1"/>
    <col min="9227" max="9472" width="8.875" style="806" customWidth="1"/>
    <col min="9473" max="9473" width="5.00390625" style="806" customWidth="1"/>
    <col min="9474" max="9474" width="11.00390625" style="806" customWidth="1"/>
    <col min="9475" max="9475" width="39.125" style="806" customWidth="1"/>
    <col min="9476" max="9476" width="3.375" style="806" customWidth="1"/>
    <col min="9477" max="9477" width="9.00390625" style="806" customWidth="1"/>
    <col min="9478" max="9478" width="9.875" style="806" customWidth="1"/>
    <col min="9479" max="9479" width="15.125" style="806" customWidth="1"/>
    <col min="9480" max="9480" width="10.125" style="806" bestFit="1" customWidth="1"/>
    <col min="9481" max="9481" width="10.375" style="806" customWidth="1"/>
    <col min="9482" max="9482" width="10.125" style="806" bestFit="1" customWidth="1"/>
    <col min="9483" max="9728" width="8.875" style="806" customWidth="1"/>
    <col min="9729" max="9729" width="5.00390625" style="806" customWidth="1"/>
    <col min="9730" max="9730" width="11.00390625" style="806" customWidth="1"/>
    <col min="9731" max="9731" width="39.125" style="806" customWidth="1"/>
    <col min="9732" max="9732" width="3.375" style="806" customWidth="1"/>
    <col min="9733" max="9733" width="9.00390625" style="806" customWidth="1"/>
    <col min="9734" max="9734" width="9.875" style="806" customWidth="1"/>
    <col min="9735" max="9735" width="15.125" style="806" customWidth="1"/>
    <col min="9736" max="9736" width="10.125" style="806" bestFit="1" customWidth="1"/>
    <col min="9737" max="9737" width="10.375" style="806" customWidth="1"/>
    <col min="9738" max="9738" width="10.125" style="806" bestFit="1" customWidth="1"/>
    <col min="9739" max="9984" width="8.875" style="806" customWidth="1"/>
    <col min="9985" max="9985" width="5.00390625" style="806" customWidth="1"/>
    <col min="9986" max="9986" width="11.00390625" style="806" customWidth="1"/>
    <col min="9987" max="9987" width="39.125" style="806" customWidth="1"/>
    <col min="9988" max="9988" width="3.375" style="806" customWidth="1"/>
    <col min="9989" max="9989" width="9.00390625" style="806" customWidth="1"/>
    <col min="9990" max="9990" width="9.875" style="806" customWidth="1"/>
    <col min="9991" max="9991" width="15.125" style="806" customWidth="1"/>
    <col min="9992" max="9992" width="10.125" style="806" bestFit="1" customWidth="1"/>
    <col min="9993" max="9993" width="10.375" style="806" customWidth="1"/>
    <col min="9994" max="9994" width="10.125" style="806" bestFit="1" customWidth="1"/>
    <col min="9995" max="10240" width="8.875" style="806" customWidth="1"/>
    <col min="10241" max="10241" width="5.00390625" style="806" customWidth="1"/>
    <col min="10242" max="10242" width="11.00390625" style="806" customWidth="1"/>
    <col min="10243" max="10243" width="39.125" style="806" customWidth="1"/>
    <col min="10244" max="10244" width="3.375" style="806" customWidth="1"/>
    <col min="10245" max="10245" width="9.00390625" style="806" customWidth="1"/>
    <col min="10246" max="10246" width="9.875" style="806" customWidth="1"/>
    <col min="10247" max="10247" width="15.125" style="806" customWidth="1"/>
    <col min="10248" max="10248" width="10.125" style="806" bestFit="1" customWidth="1"/>
    <col min="10249" max="10249" width="10.375" style="806" customWidth="1"/>
    <col min="10250" max="10250" width="10.125" style="806" bestFit="1" customWidth="1"/>
    <col min="10251" max="10496" width="8.875" style="806" customWidth="1"/>
    <col min="10497" max="10497" width="5.00390625" style="806" customWidth="1"/>
    <col min="10498" max="10498" width="11.00390625" style="806" customWidth="1"/>
    <col min="10499" max="10499" width="39.125" style="806" customWidth="1"/>
    <col min="10500" max="10500" width="3.375" style="806" customWidth="1"/>
    <col min="10501" max="10501" width="9.00390625" style="806" customWidth="1"/>
    <col min="10502" max="10502" width="9.875" style="806" customWidth="1"/>
    <col min="10503" max="10503" width="15.125" style="806" customWidth="1"/>
    <col min="10504" max="10504" width="10.125" style="806" bestFit="1" customWidth="1"/>
    <col min="10505" max="10505" width="10.375" style="806" customWidth="1"/>
    <col min="10506" max="10506" width="10.125" style="806" bestFit="1" customWidth="1"/>
    <col min="10507" max="10752" width="8.875" style="806" customWidth="1"/>
    <col min="10753" max="10753" width="5.00390625" style="806" customWidth="1"/>
    <col min="10754" max="10754" width="11.00390625" style="806" customWidth="1"/>
    <col min="10755" max="10755" width="39.125" style="806" customWidth="1"/>
    <col min="10756" max="10756" width="3.375" style="806" customWidth="1"/>
    <col min="10757" max="10757" width="9.00390625" style="806" customWidth="1"/>
    <col min="10758" max="10758" width="9.875" style="806" customWidth="1"/>
    <col min="10759" max="10759" width="15.125" style="806" customWidth="1"/>
    <col min="10760" max="10760" width="10.125" style="806" bestFit="1" customWidth="1"/>
    <col min="10761" max="10761" width="10.375" style="806" customWidth="1"/>
    <col min="10762" max="10762" width="10.125" style="806" bestFit="1" customWidth="1"/>
    <col min="10763" max="11008" width="8.875" style="806" customWidth="1"/>
    <col min="11009" max="11009" width="5.00390625" style="806" customWidth="1"/>
    <col min="11010" max="11010" width="11.00390625" style="806" customWidth="1"/>
    <col min="11011" max="11011" width="39.125" style="806" customWidth="1"/>
    <col min="11012" max="11012" width="3.375" style="806" customWidth="1"/>
    <col min="11013" max="11013" width="9.00390625" style="806" customWidth="1"/>
    <col min="11014" max="11014" width="9.875" style="806" customWidth="1"/>
    <col min="11015" max="11015" width="15.125" style="806" customWidth="1"/>
    <col min="11016" max="11016" width="10.125" style="806" bestFit="1" customWidth="1"/>
    <col min="11017" max="11017" width="10.375" style="806" customWidth="1"/>
    <col min="11018" max="11018" width="10.125" style="806" bestFit="1" customWidth="1"/>
    <col min="11019" max="11264" width="8.875" style="806" customWidth="1"/>
    <col min="11265" max="11265" width="5.00390625" style="806" customWidth="1"/>
    <col min="11266" max="11266" width="11.00390625" style="806" customWidth="1"/>
    <col min="11267" max="11267" width="39.125" style="806" customWidth="1"/>
    <col min="11268" max="11268" width="3.375" style="806" customWidth="1"/>
    <col min="11269" max="11269" width="9.00390625" style="806" customWidth="1"/>
    <col min="11270" max="11270" width="9.875" style="806" customWidth="1"/>
    <col min="11271" max="11271" width="15.125" style="806" customWidth="1"/>
    <col min="11272" max="11272" width="10.125" style="806" bestFit="1" customWidth="1"/>
    <col min="11273" max="11273" width="10.375" style="806" customWidth="1"/>
    <col min="11274" max="11274" width="10.125" style="806" bestFit="1" customWidth="1"/>
    <col min="11275" max="11520" width="8.875" style="806" customWidth="1"/>
    <col min="11521" max="11521" width="5.00390625" style="806" customWidth="1"/>
    <col min="11522" max="11522" width="11.00390625" style="806" customWidth="1"/>
    <col min="11523" max="11523" width="39.125" style="806" customWidth="1"/>
    <col min="11524" max="11524" width="3.375" style="806" customWidth="1"/>
    <col min="11525" max="11525" width="9.00390625" style="806" customWidth="1"/>
    <col min="11526" max="11526" width="9.875" style="806" customWidth="1"/>
    <col min="11527" max="11527" width="15.125" style="806" customWidth="1"/>
    <col min="11528" max="11528" width="10.125" style="806" bestFit="1" customWidth="1"/>
    <col min="11529" max="11529" width="10.375" style="806" customWidth="1"/>
    <col min="11530" max="11530" width="10.125" style="806" bestFit="1" customWidth="1"/>
    <col min="11531" max="11776" width="8.875" style="806" customWidth="1"/>
    <col min="11777" max="11777" width="5.00390625" style="806" customWidth="1"/>
    <col min="11778" max="11778" width="11.00390625" style="806" customWidth="1"/>
    <col min="11779" max="11779" width="39.125" style="806" customWidth="1"/>
    <col min="11780" max="11780" width="3.375" style="806" customWidth="1"/>
    <col min="11781" max="11781" width="9.00390625" style="806" customWidth="1"/>
    <col min="11782" max="11782" width="9.875" style="806" customWidth="1"/>
    <col min="11783" max="11783" width="15.125" style="806" customWidth="1"/>
    <col min="11784" max="11784" width="10.125" style="806" bestFit="1" customWidth="1"/>
    <col min="11785" max="11785" width="10.375" style="806" customWidth="1"/>
    <col min="11786" max="11786" width="10.125" style="806" bestFit="1" customWidth="1"/>
    <col min="11787" max="12032" width="8.875" style="806" customWidth="1"/>
    <col min="12033" max="12033" width="5.00390625" style="806" customWidth="1"/>
    <col min="12034" max="12034" width="11.00390625" style="806" customWidth="1"/>
    <col min="12035" max="12035" width="39.125" style="806" customWidth="1"/>
    <col min="12036" max="12036" width="3.375" style="806" customWidth="1"/>
    <col min="12037" max="12037" width="9.00390625" style="806" customWidth="1"/>
    <col min="12038" max="12038" width="9.875" style="806" customWidth="1"/>
    <col min="12039" max="12039" width="15.125" style="806" customWidth="1"/>
    <col min="12040" max="12040" width="10.125" style="806" bestFit="1" customWidth="1"/>
    <col min="12041" max="12041" width="10.375" style="806" customWidth="1"/>
    <col min="12042" max="12042" width="10.125" style="806" bestFit="1" customWidth="1"/>
    <col min="12043" max="12288" width="8.875" style="806" customWidth="1"/>
    <col min="12289" max="12289" width="5.00390625" style="806" customWidth="1"/>
    <col min="12290" max="12290" width="11.00390625" style="806" customWidth="1"/>
    <col min="12291" max="12291" width="39.125" style="806" customWidth="1"/>
    <col min="12292" max="12292" width="3.375" style="806" customWidth="1"/>
    <col min="12293" max="12293" width="9.00390625" style="806" customWidth="1"/>
    <col min="12294" max="12294" width="9.875" style="806" customWidth="1"/>
    <col min="12295" max="12295" width="15.125" style="806" customWidth="1"/>
    <col min="12296" max="12296" width="10.125" style="806" bestFit="1" customWidth="1"/>
    <col min="12297" max="12297" width="10.375" style="806" customWidth="1"/>
    <col min="12298" max="12298" width="10.125" style="806" bestFit="1" customWidth="1"/>
    <col min="12299" max="12544" width="8.875" style="806" customWidth="1"/>
    <col min="12545" max="12545" width="5.00390625" style="806" customWidth="1"/>
    <col min="12546" max="12546" width="11.00390625" style="806" customWidth="1"/>
    <col min="12547" max="12547" width="39.125" style="806" customWidth="1"/>
    <col min="12548" max="12548" width="3.375" style="806" customWidth="1"/>
    <col min="12549" max="12549" width="9.00390625" style="806" customWidth="1"/>
    <col min="12550" max="12550" width="9.875" style="806" customWidth="1"/>
    <col min="12551" max="12551" width="15.125" style="806" customWidth="1"/>
    <col min="12552" max="12552" width="10.125" style="806" bestFit="1" customWidth="1"/>
    <col min="12553" max="12553" width="10.375" style="806" customWidth="1"/>
    <col min="12554" max="12554" width="10.125" style="806" bestFit="1" customWidth="1"/>
    <col min="12555" max="12800" width="8.875" style="806" customWidth="1"/>
    <col min="12801" max="12801" width="5.00390625" style="806" customWidth="1"/>
    <col min="12802" max="12802" width="11.00390625" style="806" customWidth="1"/>
    <col min="12803" max="12803" width="39.125" style="806" customWidth="1"/>
    <col min="12804" max="12804" width="3.375" style="806" customWidth="1"/>
    <col min="12805" max="12805" width="9.00390625" style="806" customWidth="1"/>
    <col min="12806" max="12806" width="9.875" style="806" customWidth="1"/>
    <col min="12807" max="12807" width="15.125" style="806" customWidth="1"/>
    <col min="12808" max="12808" width="10.125" style="806" bestFit="1" customWidth="1"/>
    <col min="12809" max="12809" width="10.375" style="806" customWidth="1"/>
    <col min="12810" max="12810" width="10.125" style="806" bestFit="1" customWidth="1"/>
    <col min="12811" max="13056" width="8.875" style="806" customWidth="1"/>
    <col min="13057" max="13057" width="5.00390625" style="806" customWidth="1"/>
    <col min="13058" max="13058" width="11.00390625" style="806" customWidth="1"/>
    <col min="13059" max="13059" width="39.125" style="806" customWidth="1"/>
    <col min="13060" max="13060" width="3.375" style="806" customWidth="1"/>
    <col min="13061" max="13061" width="9.00390625" style="806" customWidth="1"/>
    <col min="13062" max="13062" width="9.875" style="806" customWidth="1"/>
    <col min="13063" max="13063" width="15.125" style="806" customWidth="1"/>
    <col min="13064" max="13064" width="10.125" style="806" bestFit="1" customWidth="1"/>
    <col min="13065" max="13065" width="10.375" style="806" customWidth="1"/>
    <col min="13066" max="13066" width="10.125" style="806" bestFit="1" customWidth="1"/>
    <col min="13067" max="13312" width="8.875" style="806" customWidth="1"/>
    <col min="13313" max="13313" width="5.00390625" style="806" customWidth="1"/>
    <col min="13314" max="13314" width="11.00390625" style="806" customWidth="1"/>
    <col min="13315" max="13315" width="39.125" style="806" customWidth="1"/>
    <col min="13316" max="13316" width="3.375" style="806" customWidth="1"/>
    <col min="13317" max="13317" width="9.00390625" style="806" customWidth="1"/>
    <col min="13318" max="13318" width="9.875" style="806" customWidth="1"/>
    <col min="13319" max="13319" width="15.125" style="806" customWidth="1"/>
    <col min="13320" max="13320" width="10.125" style="806" bestFit="1" customWidth="1"/>
    <col min="13321" max="13321" width="10.375" style="806" customWidth="1"/>
    <col min="13322" max="13322" width="10.125" style="806" bestFit="1" customWidth="1"/>
    <col min="13323" max="13568" width="8.875" style="806" customWidth="1"/>
    <col min="13569" max="13569" width="5.00390625" style="806" customWidth="1"/>
    <col min="13570" max="13570" width="11.00390625" style="806" customWidth="1"/>
    <col min="13571" max="13571" width="39.125" style="806" customWidth="1"/>
    <col min="13572" max="13572" width="3.375" style="806" customWidth="1"/>
    <col min="13573" max="13573" width="9.00390625" style="806" customWidth="1"/>
    <col min="13574" max="13574" width="9.875" style="806" customWidth="1"/>
    <col min="13575" max="13575" width="15.125" style="806" customWidth="1"/>
    <col min="13576" max="13576" width="10.125" style="806" bestFit="1" customWidth="1"/>
    <col min="13577" max="13577" width="10.375" style="806" customWidth="1"/>
    <col min="13578" max="13578" width="10.125" style="806" bestFit="1" customWidth="1"/>
    <col min="13579" max="13824" width="8.875" style="806" customWidth="1"/>
    <col min="13825" max="13825" width="5.00390625" style="806" customWidth="1"/>
    <col min="13826" max="13826" width="11.00390625" style="806" customWidth="1"/>
    <col min="13827" max="13827" width="39.125" style="806" customWidth="1"/>
    <col min="13828" max="13828" width="3.375" style="806" customWidth="1"/>
    <col min="13829" max="13829" width="9.00390625" style="806" customWidth="1"/>
    <col min="13830" max="13830" width="9.875" style="806" customWidth="1"/>
    <col min="13831" max="13831" width="15.125" style="806" customWidth="1"/>
    <col min="13832" max="13832" width="10.125" style="806" bestFit="1" customWidth="1"/>
    <col min="13833" max="13833" width="10.375" style="806" customWidth="1"/>
    <col min="13834" max="13834" width="10.125" style="806" bestFit="1" customWidth="1"/>
    <col min="13835" max="14080" width="8.875" style="806" customWidth="1"/>
    <col min="14081" max="14081" width="5.00390625" style="806" customWidth="1"/>
    <col min="14082" max="14082" width="11.00390625" style="806" customWidth="1"/>
    <col min="14083" max="14083" width="39.125" style="806" customWidth="1"/>
    <col min="14084" max="14084" width="3.375" style="806" customWidth="1"/>
    <col min="14085" max="14085" width="9.00390625" style="806" customWidth="1"/>
    <col min="14086" max="14086" width="9.875" style="806" customWidth="1"/>
    <col min="14087" max="14087" width="15.125" style="806" customWidth="1"/>
    <col min="14088" max="14088" width="10.125" style="806" bestFit="1" customWidth="1"/>
    <col min="14089" max="14089" width="10.375" style="806" customWidth="1"/>
    <col min="14090" max="14090" width="10.125" style="806" bestFit="1" customWidth="1"/>
    <col min="14091" max="14336" width="8.875" style="806" customWidth="1"/>
    <col min="14337" max="14337" width="5.00390625" style="806" customWidth="1"/>
    <col min="14338" max="14338" width="11.00390625" style="806" customWidth="1"/>
    <col min="14339" max="14339" width="39.125" style="806" customWidth="1"/>
    <col min="14340" max="14340" width="3.375" style="806" customWidth="1"/>
    <col min="14341" max="14341" width="9.00390625" style="806" customWidth="1"/>
    <col min="14342" max="14342" width="9.875" style="806" customWidth="1"/>
    <col min="14343" max="14343" width="15.125" style="806" customWidth="1"/>
    <col min="14344" max="14344" width="10.125" style="806" bestFit="1" customWidth="1"/>
    <col min="14345" max="14345" width="10.375" style="806" customWidth="1"/>
    <col min="14346" max="14346" width="10.125" style="806" bestFit="1" customWidth="1"/>
    <col min="14347" max="14592" width="8.875" style="806" customWidth="1"/>
    <col min="14593" max="14593" width="5.00390625" style="806" customWidth="1"/>
    <col min="14594" max="14594" width="11.00390625" style="806" customWidth="1"/>
    <col min="14595" max="14595" width="39.125" style="806" customWidth="1"/>
    <col min="14596" max="14596" width="3.375" style="806" customWidth="1"/>
    <col min="14597" max="14597" width="9.00390625" style="806" customWidth="1"/>
    <col min="14598" max="14598" width="9.875" style="806" customWidth="1"/>
    <col min="14599" max="14599" width="15.125" style="806" customWidth="1"/>
    <col min="14600" max="14600" width="10.125" style="806" bestFit="1" customWidth="1"/>
    <col min="14601" max="14601" width="10.375" style="806" customWidth="1"/>
    <col min="14602" max="14602" width="10.125" style="806" bestFit="1" customWidth="1"/>
    <col min="14603" max="14848" width="8.875" style="806" customWidth="1"/>
    <col min="14849" max="14849" width="5.00390625" style="806" customWidth="1"/>
    <col min="14850" max="14850" width="11.00390625" style="806" customWidth="1"/>
    <col min="14851" max="14851" width="39.125" style="806" customWidth="1"/>
    <col min="14852" max="14852" width="3.375" style="806" customWidth="1"/>
    <col min="14853" max="14853" width="9.00390625" style="806" customWidth="1"/>
    <col min="14854" max="14854" width="9.875" style="806" customWidth="1"/>
    <col min="14855" max="14855" width="15.125" style="806" customWidth="1"/>
    <col min="14856" max="14856" width="10.125" style="806" bestFit="1" customWidth="1"/>
    <col min="14857" max="14857" width="10.375" style="806" customWidth="1"/>
    <col min="14858" max="14858" width="10.125" style="806" bestFit="1" customWidth="1"/>
    <col min="14859" max="15104" width="8.875" style="806" customWidth="1"/>
    <col min="15105" max="15105" width="5.00390625" style="806" customWidth="1"/>
    <col min="15106" max="15106" width="11.00390625" style="806" customWidth="1"/>
    <col min="15107" max="15107" width="39.125" style="806" customWidth="1"/>
    <col min="15108" max="15108" width="3.375" style="806" customWidth="1"/>
    <col min="15109" max="15109" width="9.00390625" style="806" customWidth="1"/>
    <col min="15110" max="15110" width="9.875" style="806" customWidth="1"/>
    <col min="15111" max="15111" width="15.125" style="806" customWidth="1"/>
    <col min="15112" max="15112" width="10.125" style="806" bestFit="1" customWidth="1"/>
    <col min="15113" max="15113" width="10.375" style="806" customWidth="1"/>
    <col min="15114" max="15114" width="10.125" style="806" bestFit="1" customWidth="1"/>
    <col min="15115" max="15360" width="8.875" style="806" customWidth="1"/>
    <col min="15361" max="15361" width="5.00390625" style="806" customWidth="1"/>
    <col min="15362" max="15362" width="11.00390625" style="806" customWidth="1"/>
    <col min="15363" max="15363" width="39.125" style="806" customWidth="1"/>
    <col min="15364" max="15364" width="3.375" style="806" customWidth="1"/>
    <col min="15365" max="15365" width="9.00390625" style="806" customWidth="1"/>
    <col min="15366" max="15366" width="9.875" style="806" customWidth="1"/>
    <col min="15367" max="15367" width="15.125" style="806" customWidth="1"/>
    <col min="15368" max="15368" width="10.125" style="806" bestFit="1" customWidth="1"/>
    <col min="15369" max="15369" width="10.375" style="806" customWidth="1"/>
    <col min="15370" max="15370" width="10.125" style="806" bestFit="1" customWidth="1"/>
    <col min="15371" max="15616" width="8.875" style="806" customWidth="1"/>
    <col min="15617" max="15617" width="5.00390625" style="806" customWidth="1"/>
    <col min="15618" max="15618" width="11.00390625" style="806" customWidth="1"/>
    <col min="15619" max="15619" width="39.125" style="806" customWidth="1"/>
    <col min="15620" max="15620" width="3.375" style="806" customWidth="1"/>
    <col min="15621" max="15621" width="9.00390625" style="806" customWidth="1"/>
    <col min="15622" max="15622" width="9.875" style="806" customWidth="1"/>
    <col min="15623" max="15623" width="15.125" style="806" customWidth="1"/>
    <col min="15624" max="15624" width="10.125" style="806" bestFit="1" customWidth="1"/>
    <col min="15625" max="15625" width="10.375" style="806" customWidth="1"/>
    <col min="15626" max="15626" width="10.125" style="806" bestFit="1" customWidth="1"/>
    <col min="15627" max="15872" width="8.875" style="806" customWidth="1"/>
    <col min="15873" max="15873" width="5.00390625" style="806" customWidth="1"/>
    <col min="15874" max="15874" width="11.00390625" style="806" customWidth="1"/>
    <col min="15875" max="15875" width="39.125" style="806" customWidth="1"/>
    <col min="15876" max="15876" width="3.375" style="806" customWidth="1"/>
    <col min="15877" max="15877" width="9.00390625" style="806" customWidth="1"/>
    <col min="15878" max="15878" width="9.875" style="806" customWidth="1"/>
    <col min="15879" max="15879" width="15.125" style="806" customWidth="1"/>
    <col min="15880" max="15880" width="10.125" style="806" bestFit="1" customWidth="1"/>
    <col min="15881" max="15881" width="10.375" style="806" customWidth="1"/>
    <col min="15882" max="15882" width="10.125" style="806" bestFit="1" customWidth="1"/>
    <col min="15883" max="16128" width="8.875" style="806" customWidth="1"/>
    <col min="16129" max="16129" width="5.00390625" style="806" customWidth="1"/>
    <col min="16130" max="16130" width="11.00390625" style="806" customWidth="1"/>
    <col min="16131" max="16131" width="39.125" style="806" customWidth="1"/>
    <col min="16132" max="16132" width="3.375" style="806" customWidth="1"/>
    <col min="16133" max="16133" width="9.00390625" style="806" customWidth="1"/>
    <col min="16134" max="16134" width="9.875" style="806" customWidth="1"/>
    <col min="16135" max="16135" width="15.125" style="806" customWidth="1"/>
    <col min="16136" max="16136" width="10.125" style="806" bestFit="1" customWidth="1"/>
    <col min="16137" max="16137" width="10.375" style="806" customWidth="1"/>
    <col min="16138" max="16138" width="10.125" style="806" bestFit="1" customWidth="1"/>
    <col min="16139" max="16384" width="8.875" style="806" customWidth="1"/>
  </cols>
  <sheetData>
    <row r="1" spans="1:8" s="804" customFormat="1" ht="16.8">
      <c r="A1" s="801"/>
      <c r="B1" s="1660" t="s">
        <v>1632</v>
      </c>
      <c r="C1" s="1660"/>
      <c r="D1" s="802"/>
      <c r="E1" s="802"/>
      <c r="F1" s="802"/>
      <c r="G1" s="802"/>
      <c r="H1" s="803"/>
    </row>
    <row r="2" spans="1:7" ht="12.75">
      <c r="A2" s="805"/>
      <c r="B2" s="805"/>
      <c r="C2" s="805"/>
      <c r="D2" s="805"/>
      <c r="E2" s="805"/>
      <c r="F2" s="805"/>
      <c r="G2" s="805"/>
    </row>
    <row r="3" spans="1:8" s="808" customFormat="1" ht="21">
      <c r="A3" s="1661" t="s">
        <v>1633</v>
      </c>
      <c r="B3" s="1661"/>
      <c r="C3" s="1661"/>
      <c r="D3" s="1661"/>
      <c r="E3" s="1661"/>
      <c r="F3" s="1661"/>
      <c r="G3" s="1661"/>
      <c r="H3" s="807"/>
    </row>
    <row r="4" spans="1:8" s="809" customFormat="1" ht="21">
      <c r="A4" s="1661" t="s">
        <v>1634</v>
      </c>
      <c r="B4" s="1661"/>
      <c r="C4" s="1661"/>
      <c r="D4" s="1661"/>
      <c r="E4" s="1661"/>
      <c r="F4" s="1661"/>
      <c r="G4" s="1661"/>
      <c r="H4" s="807"/>
    </row>
    <row r="5" spans="1:8" s="809" customFormat="1" ht="21">
      <c r="A5" s="810"/>
      <c r="B5" s="810"/>
      <c r="C5" s="810"/>
      <c r="D5" s="810"/>
      <c r="E5" s="810"/>
      <c r="F5" s="810"/>
      <c r="G5" s="810"/>
      <c r="H5" s="807"/>
    </row>
    <row r="6" spans="1:7" ht="12.75">
      <c r="A6" s="811"/>
      <c r="B6" s="811"/>
      <c r="C6" s="811"/>
      <c r="D6" s="811"/>
      <c r="E6" s="811"/>
      <c r="F6" s="811"/>
      <c r="G6" s="811"/>
    </row>
    <row r="7" spans="1:7" s="815" customFormat="1" ht="12.75">
      <c r="A7" s="812"/>
      <c r="B7" s="813" t="s">
        <v>1635</v>
      </c>
      <c r="C7" s="813"/>
      <c r="D7" s="814"/>
      <c r="E7" s="814"/>
      <c r="F7" s="814"/>
      <c r="G7" s="814"/>
    </row>
    <row r="8" spans="1:7" s="815" customFormat="1" ht="12.75">
      <c r="A8" s="812"/>
      <c r="B8" s="814"/>
      <c r="C8" s="813"/>
      <c r="D8" s="814"/>
      <c r="E8" s="814"/>
      <c r="F8" s="814"/>
      <c r="G8" s="814"/>
    </row>
    <row r="9" spans="1:7" s="815" customFormat="1" ht="12.75">
      <c r="A9" s="812"/>
      <c r="B9" s="814"/>
      <c r="C9" s="813"/>
      <c r="D9" s="814"/>
      <c r="E9" s="814"/>
      <c r="F9" s="814"/>
      <c r="G9" s="814"/>
    </row>
    <row r="10" spans="1:7" s="815" customFormat="1" ht="12.75">
      <c r="A10" s="812"/>
      <c r="B10" s="816" t="s">
        <v>1636</v>
      </c>
      <c r="C10" s="1662" t="s">
        <v>1637</v>
      </c>
      <c r="D10" s="1659"/>
      <c r="E10" s="1659"/>
      <c r="F10" s="1659"/>
      <c r="G10" s="1659"/>
    </row>
    <row r="11" spans="1:7" s="815" customFormat="1" ht="12.75">
      <c r="A11" s="812"/>
      <c r="B11" s="816"/>
      <c r="C11" s="1662"/>
      <c r="D11" s="1659"/>
      <c r="E11" s="1659"/>
      <c r="F11" s="1659"/>
      <c r="G11" s="1659"/>
    </row>
    <row r="12" spans="1:7" s="815" customFormat="1" ht="12.75">
      <c r="A12" s="812"/>
      <c r="B12" s="816"/>
      <c r="C12" s="817"/>
      <c r="D12" s="817"/>
      <c r="E12" s="817"/>
      <c r="F12" s="817"/>
      <c r="G12" s="818"/>
    </row>
    <row r="13" spans="1:7" s="815" customFormat="1" ht="12.75">
      <c r="A13" s="812"/>
      <c r="B13" s="816" t="s">
        <v>1638</v>
      </c>
      <c r="C13" s="1658" t="s">
        <v>1639</v>
      </c>
      <c r="D13" s="1659"/>
      <c r="E13" s="819"/>
      <c r="F13" s="818"/>
      <c r="G13" s="818"/>
    </row>
    <row r="14" spans="1:7" s="815" customFormat="1" ht="12.75">
      <c r="A14" s="812"/>
      <c r="B14" s="816"/>
      <c r="C14" s="820"/>
      <c r="D14" s="817"/>
      <c r="E14" s="819"/>
      <c r="F14" s="818"/>
      <c r="G14" s="818"/>
    </row>
    <row r="15" spans="1:7" ht="12.75">
      <c r="A15" s="802"/>
      <c r="B15" s="1653"/>
      <c r="C15" s="1654"/>
      <c r="D15" s="802"/>
      <c r="E15" s="802"/>
      <c r="F15" s="821"/>
      <c r="G15" s="821"/>
    </row>
    <row r="16" spans="1:7" s="815" customFormat="1" ht="24.6">
      <c r="A16" s="802"/>
      <c r="B16" s="1655" t="s">
        <v>1640</v>
      </c>
      <c r="C16" s="1655"/>
      <c r="D16" s="1655"/>
      <c r="E16" s="1655"/>
      <c r="F16" s="1655"/>
      <c r="G16" s="1655"/>
    </row>
    <row r="17" spans="1:7" s="815" customFormat="1" ht="12.75" customHeight="1">
      <c r="A17" s="802"/>
      <c r="B17" s="822"/>
      <c r="C17" s="823"/>
      <c r="D17" s="824"/>
      <c r="E17" s="824"/>
      <c r="F17" s="824"/>
      <c r="G17" s="824"/>
    </row>
    <row r="18" spans="1:7" s="815" customFormat="1" ht="13.8">
      <c r="A18" s="825"/>
      <c r="B18" s="826" t="s">
        <v>1641</v>
      </c>
      <c r="C18" s="827"/>
      <c r="D18" s="828"/>
      <c r="E18" s="1650">
        <v>0</v>
      </c>
      <c r="F18" s="1652"/>
      <c r="G18" s="829"/>
    </row>
    <row r="19" spans="1:7" s="815" customFormat="1" ht="13.8">
      <c r="A19" s="825"/>
      <c r="B19" s="826"/>
      <c r="C19" s="827"/>
      <c r="D19" s="828"/>
      <c r="E19" s="830"/>
      <c r="F19" s="831"/>
      <c r="G19" s="829"/>
    </row>
    <row r="20" spans="1:7" s="815" customFormat="1" ht="13.8">
      <c r="A20" s="832"/>
      <c r="B20" s="826" t="s">
        <v>1642</v>
      </c>
      <c r="C20" s="833"/>
      <c r="D20" s="834"/>
      <c r="E20" s="1650">
        <v>0</v>
      </c>
      <c r="F20" s="1651"/>
      <c r="G20" s="835"/>
    </row>
    <row r="21" spans="1:7" s="815" customFormat="1" ht="13.8">
      <c r="A21" s="832"/>
      <c r="B21" s="826"/>
      <c r="C21" s="833"/>
      <c r="D21" s="834"/>
      <c r="E21" s="830"/>
      <c r="F21" s="836"/>
      <c r="G21" s="835"/>
    </row>
    <row r="22" spans="1:7" s="815" customFormat="1" ht="13.8">
      <c r="A22" s="832"/>
      <c r="B22" s="826" t="s">
        <v>1643</v>
      </c>
      <c r="C22" s="833"/>
      <c r="D22" s="834"/>
      <c r="E22" s="1650">
        <v>0</v>
      </c>
      <c r="F22" s="1651"/>
      <c r="G22" s="835"/>
    </row>
    <row r="23" spans="1:7" s="815" customFormat="1" ht="13.8">
      <c r="A23" s="825"/>
      <c r="B23" s="826"/>
      <c r="C23" s="827"/>
      <c r="D23" s="828"/>
      <c r="E23" s="830"/>
      <c r="F23" s="831"/>
      <c r="G23" s="829"/>
    </row>
    <row r="24" spans="1:7" s="815" customFormat="1" ht="13.8">
      <c r="A24" s="832"/>
      <c r="B24" s="826" t="s">
        <v>1644</v>
      </c>
      <c r="C24" s="833"/>
      <c r="D24" s="834"/>
      <c r="E24" s="1650">
        <v>0</v>
      </c>
      <c r="F24" s="1651"/>
      <c r="G24" s="835"/>
    </row>
    <row r="25" spans="1:7" s="815" customFormat="1" ht="13.8">
      <c r="A25" s="825"/>
      <c r="B25" s="826"/>
      <c r="C25" s="827"/>
      <c r="D25" s="828"/>
      <c r="E25" s="830"/>
      <c r="F25" s="831"/>
      <c r="G25" s="829"/>
    </row>
    <row r="26" spans="1:7" s="815" customFormat="1" ht="13.8">
      <c r="A26" s="832"/>
      <c r="B26" s="826" t="s">
        <v>1645</v>
      </c>
      <c r="C26" s="833"/>
      <c r="D26" s="834"/>
      <c r="E26" s="1650">
        <v>0</v>
      </c>
      <c r="F26" s="1651"/>
      <c r="G26" s="835"/>
    </row>
    <row r="27" spans="1:7" s="815" customFormat="1" ht="13.8">
      <c r="A27" s="825"/>
      <c r="B27" s="837"/>
      <c r="C27" s="838"/>
      <c r="D27" s="825"/>
      <c r="E27" s="830"/>
      <c r="F27" s="831"/>
      <c r="G27" s="829"/>
    </row>
    <row r="28" spans="1:7" s="815" customFormat="1" ht="13.8">
      <c r="A28" s="832"/>
      <c r="B28" s="1656" t="s">
        <v>1646</v>
      </c>
      <c r="C28" s="1656"/>
      <c r="D28" s="834"/>
      <c r="E28" s="1650"/>
      <c r="F28" s="1651"/>
      <c r="G28" s="835"/>
    </row>
    <row r="29" spans="1:7" s="815" customFormat="1" ht="13.8">
      <c r="A29" s="825"/>
      <c r="B29" s="839"/>
      <c r="C29" s="840"/>
      <c r="D29" s="841"/>
      <c r="E29" s="842"/>
      <c r="F29" s="843"/>
      <c r="G29" s="844"/>
    </row>
    <row r="30" spans="1:7" s="815" customFormat="1" ht="13.8">
      <c r="A30" s="832"/>
      <c r="B30" s="826" t="s">
        <v>1647</v>
      </c>
      <c r="C30" s="833"/>
      <c r="D30" s="834"/>
      <c r="E30" s="1650">
        <v>0</v>
      </c>
      <c r="F30" s="1651"/>
      <c r="G30" s="835"/>
    </row>
    <row r="31" spans="1:7" s="815" customFormat="1" ht="13.8">
      <c r="A31" s="825"/>
      <c r="B31" s="839"/>
      <c r="C31" s="840"/>
      <c r="D31" s="841"/>
      <c r="E31" s="1657"/>
      <c r="F31" s="1657"/>
      <c r="G31" s="844"/>
    </row>
    <row r="32" spans="1:7" s="815" customFormat="1" ht="13.8">
      <c r="A32" s="832"/>
      <c r="B32" s="826" t="s">
        <v>1648</v>
      </c>
      <c r="C32" s="833"/>
      <c r="D32" s="834"/>
      <c r="E32" s="1650">
        <v>0</v>
      </c>
      <c r="F32" s="1651"/>
      <c r="G32" s="835"/>
    </row>
    <row r="33" spans="1:7" s="815" customFormat="1" ht="13.8">
      <c r="A33" s="832"/>
      <c r="B33" s="826"/>
      <c r="C33" s="833"/>
      <c r="D33" s="834"/>
      <c r="E33" s="830"/>
      <c r="F33" s="836"/>
      <c r="G33" s="835"/>
    </row>
    <row r="34" spans="1:7" s="815" customFormat="1" ht="13.8">
      <c r="A34" s="832"/>
      <c r="B34" s="826" t="s">
        <v>1649</v>
      </c>
      <c r="C34" s="833"/>
      <c r="D34" s="834"/>
      <c r="E34" s="1650">
        <v>0</v>
      </c>
      <c r="F34" s="1651"/>
      <c r="G34" s="835"/>
    </row>
    <row r="35" spans="1:7" s="815" customFormat="1" ht="13.8">
      <c r="A35" s="832"/>
      <c r="B35" s="826"/>
      <c r="C35" s="833"/>
      <c r="D35" s="834"/>
      <c r="E35" s="830"/>
      <c r="F35" s="836"/>
      <c r="G35" s="835"/>
    </row>
    <row r="36" spans="1:7" s="815" customFormat="1" ht="13.8">
      <c r="A36" s="832"/>
      <c r="B36" s="826" t="s">
        <v>1650</v>
      </c>
      <c r="C36" s="833"/>
      <c r="D36" s="834"/>
      <c r="E36" s="1650">
        <v>0</v>
      </c>
      <c r="F36" s="1651"/>
      <c r="G36" s="835"/>
    </row>
    <row r="37" spans="1:7" s="815" customFormat="1" ht="13.8">
      <c r="A37" s="832"/>
      <c r="B37" s="826"/>
      <c r="C37" s="833"/>
      <c r="D37" s="834"/>
      <c r="E37" s="830"/>
      <c r="F37" s="836"/>
      <c r="G37" s="835"/>
    </row>
    <row r="38" spans="1:7" s="815" customFormat="1" ht="13.8">
      <c r="A38" s="832"/>
      <c r="B38" s="826" t="s">
        <v>1651</v>
      </c>
      <c r="C38" s="833"/>
      <c r="D38" s="834"/>
      <c r="E38" s="1650">
        <v>0</v>
      </c>
      <c r="F38" s="1651"/>
      <c r="G38" s="835"/>
    </row>
    <row r="39" spans="1:7" s="815" customFormat="1" ht="13.8">
      <c r="A39" s="832"/>
      <c r="B39" s="826"/>
      <c r="C39" s="833"/>
      <c r="D39" s="834"/>
      <c r="E39" s="830"/>
      <c r="F39" s="836"/>
      <c r="G39" s="835"/>
    </row>
    <row r="40" spans="1:7" s="815" customFormat="1" ht="13.8">
      <c r="A40" s="825"/>
      <c r="B40" s="826" t="s">
        <v>1652</v>
      </c>
      <c r="C40" s="827"/>
      <c r="D40" s="828"/>
      <c r="E40" s="1650">
        <v>0</v>
      </c>
      <c r="F40" s="1652"/>
      <c r="G40" s="829"/>
    </row>
    <row r="41" spans="1:7" s="815" customFormat="1" ht="14.4" thickBot="1">
      <c r="A41" s="825"/>
      <c r="B41" s="839"/>
      <c r="C41" s="840"/>
      <c r="D41" s="841"/>
      <c r="E41" s="843"/>
      <c r="F41" s="843"/>
      <c r="G41" s="844"/>
    </row>
    <row r="42" spans="1:11" s="815" customFormat="1" ht="15.6">
      <c r="A42" s="825"/>
      <c r="B42" s="845" t="s">
        <v>1653</v>
      </c>
      <c r="C42" s="846"/>
      <c r="D42" s="847"/>
      <c r="E42" s="881">
        <f>SUM(E40,E38,E36,E34,E32,E30,E28,E26,E24,E22,E20,E18:G18)</f>
        <v>0</v>
      </c>
      <c r="F42" s="880"/>
      <c r="G42" s="848"/>
      <c r="I42" s="849"/>
      <c r="J42" s="1647"/>
      <c r="K42" s="1648"/>
    </row>
    <row r="43" spans="1:11" s="815" customFormat="1" ht="15.6">
      <c r="A43" s="825"/>
      <c r="B43" s="850" t="s">
        <v>1654</v>
      </c>
      <c r="C43" s="851"/>
      <c r="D43" s="852"/>
      <c r="E43" s="1643">
        <f>PRODUCT(E42)*0.21</f>
        <v>0</v>
      </c>
      <c r="F43" s="1644"/>
      <c r="G43" s="848"/>
      <c r="I43" s="853"/>
      <c r="J43" s="854"/>
      <c r="K43" s="855"/>
    </row>
    <row r="44" spans="1:11" s="815" customFormat="1" ht="16.2" thickBot="1">
      <c r="A44" s="825"/>
      <c r="B44" s="856" t="s">
        <v>1655</v>
      </c>
      <c r="C44" s="857"/>
      <c r="D44" s="858"/>
      <c r="E44" s="1645">
        <f>0.21*E42+E42</f>
        <v>0</v>
      </c>
      <c r="F44" s="1646"/>
      <c r="G44" s="859"/>
      <c r="J44" s="1647"/>
      <c r="K44" s="1648"/>
    </row>
    <row r="45" spans="1:10" s="815" customFormat="1" ht="15.6">
      <c r="A45" s="825"/>
      <c r="B45" s="841"/>
      <c r="C45" s="860"/>
      <c r="D45" s="825"/>
      <c r="E45" s="825"/>
      <c r="F45" s="861"/>
      <c r="G45" s="859"/>
      <c r="J45" s="862"/>
    </row>
    <row r="46" spans="1:10" s="815" customFormat="1" ht="15.6">
      <c r="A46" s="825"/>
      <c r="B46" s="882" t="s">
        <v>1662</v>
      </c>
      <c r="C46" s="860"/>
      <c r="D46" s="825"/>
      <c r="E46" s="825"/>
      <c r="F46" s="861"/>
      <c r="G46" s="859"/>
      <c r="J46" s="862"/>
    </row>
    <row r="47" spans="1:7" s="815" customFormat="1" ht="15.6">
      <c r="A47" s="825"/>
      <c r="B47" s="806" t="s">
        <v>1661</v>
      </c>
      <c r="C47" s="860"/>
      <c r="D47" s="825"/>
      <c r="E47" s="825"/>
      <c r="F47" s="861"/>
      <c r="G47" s="859"/>
    </row>
    <row r="48" spans="1:7" s="815" customFormat="1" ht="13.8">
      <c r="A48" s="825"/>
      <c r="B48" s="1649"/>
      <c r="C48" s="1649"/>
      <c r="D48" s="817"/>
      <c r="E48" s="823"/>
      <c r="F48" s="863"/>
      <c r="G48" s="863"/>
    </row>
    <row r="49" spans="1:7" s="815" customFormat="1" ht="13.8">
      <c r="A49" s="825"/>
      <c r="B49" s="1649"/>
      <c r="C49" s="1649"/>
      <c r="D49" s="864"/>
      <c r="E49" s="865"/>
      <c r="F49" s="863"/>
      <c r="G49" s="863"/>
    </row>
    <row r="50" spans="1:10" s="872" customFormat="1" ht="15.6">
      <c r="A50" s="866"/>
      <c r="B50" s="867"/>
      <c r="C50" s="868"/>
      <c r="D50" s="869"/>
      <c r="E50" s="870"/>
      <c r="F50" s="870"/>
      <c r="G50" s="871"/>
      <c r="I50" s="873"/>
      <c r="J50" s="873"/>
    </row>
    <row r="51" spans="1:7" s="876" customFormat="1" ht="15.6">
      <c r="A51" s="874"/>
      <c r="B51" s="874"/>
      <c r="C51" s="874"/>
      <c r="D51" s="874"/>
      <c r="E51" s="874"/>
      <c r="F51" s="874"/>
      <c r="G51" s="875"/>
    </row>
    <row r="52" spans="1:9" s="811" customFormat="1" ht="12.75">
      <c r="A52" s="806"/>
      <c r="B52" s="806"/>
      <c r="C52" s="806"/>
      <c r="D52" s="806"/>
      <c r="E52" s="806"/>
      <c r="F52" s="806"/>
      <c r="G52" s="806"/>
      <c r="I52" s="877"/>
    </row>
    <row r="53" ht="12.75">
      <c r="I53" s="878"/>
    </row>
    <row r="54" spans="1:9" s="811" customFormat="1" ht="12.75">
      <c r="A54" s="806"/>
      <c r="B54" s="806"/>
      <c r="C54" s="806"/>
      <c r="D54" s="806"/>
      <c r="E54" s="806"/>
      <c r="F54" s="806"/>
      <c r="G54" s="806"/>
      <c r="I54" s="877"/>
    </row>
    <row r="55" spans="1:9" s="811" customFormat="1" ht="12.75">
      <c r="A55" s="806"/>
      <c r="B55" s="806"/>
      <c r="C55" s="806"/>
      <c r="D55" s="806"/>
      <c r="E55" s="806"/>
      <c r="F55" s="806"/>
      <c r="G55" s="806"/>
      <c r="I55" s="877"/>
    </row>
    <row r="56" spans="1:9" s="811" customFormat="1" ht="12.75">
      <c r="A56" s="806"/>
      <c r="B56" s="806"/>
      <c r="C56" s="806"/>
      <c r="D56" s="806"/>
      <c r="E56" s="806"/>
      <c r="F56" s="806"/>
      <c r="G56" s="806"/>
      <c r="I56" s="877"/>
    </row>
    <row r="58" spans="1:12" s="879" customFormat="1" ht="12.75">
      <c r="A58" s="806"/>
      <c r="B58" s="806"/>
      <c r="C58" s="806"/>
      <c r="D58" s="806"/>
      <c r="E58" s="806"/>
      <c r="F58" s="806"/>
      <c r="G58" s="806"/>
      <c r="L58" s="809"/>
    </row>
    <row r="71" spans="8:9" ht="12.75">
      <c r="H71" s="878"/>
      <c r="I71" s="878"/>
    </row>
    <row r="73" ht="12.75">
      <c r="H73" s="878"/>
    </row>
    <row r="74" ht="12.75">
      <c r="I74" s="878"/>
    </row>
  </sheetData>
  <mergeCells count="28">
    <mergeCell ref="C13:D13"/>
    <mergeCell ref="B1:C1"/>
    <mergeCell ref="A3:G3"/>
    <mergeCell ref="A4:G4"/>
    <mergeCell ref="C10:G10"/>
    <mergeCell ref="C11:G11"/>
    <mergeCell ref="E32:F32"/>
    <mergeCell ref="B15:C15"/>
    <mergeCell ref="B16:G16"/>
    <mergeCell ref="E18:F18"/>
    <mergeCell ref="E20:F20"/>
    <mergeCell ref="E22:F22"/>
    <mergeCell ref="E24:F24"/>
    <mergeCell ref="E26:F26"/>
    <mergeCell ref="B28:C28"/>
    <mergeCell ref="E28:F28"/>
    <mergeCell ref="E30:F30"/>
    <mergeCell ref="E31:F31"/>
    <mergeCell ref="E34:F34"/>
    <mergeCell ref="E36:F36"/>
    <mergeCell ref="E38:F38"/>
    <mergeCell ref="E40:F40"/>
    <mergeCell ref="J42:K42"/>
    <mergeCell ref="E43:F43"/>
    <mergeCell ref="E44:F44"/>
    <mergeCell ref="J44:K44"/>
    <mergeCell ref="B48:C48"/>
    <mergeCell ref="B49:C49"/>
  </mergeCells>
  <printOptions/>
  <pageMargins left="0.6692913385826772" right="0.4330708661417323" top="0.6692913385826772" bottom="0.6692913385826772" header="0.5118110236220472" footer="0.5118110236220472"/>
  <pageSetup fitToHeight="1" fitToWidth="1" horizontalDpi="600" verticalDpi="600" orientation="portrait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76"/>
  <sheetViews>
    <sheetView view="pageBreakPreview" zoomScale="75" zoomScaleSheetLayoutView="75" workbookViewId="0" topLeftCell="A7">
      <selection activeCell="V53" sqref="V53"/>
    </sheetView>
  </sheetViews>
  <sheetFormatPr defaultColWidth="9.00390625" defaultRowHeight="12.75"/>
  <cols>
    <col min="1" max="1" width="5.00390625" style="806" customWidth="1"/>
    <col min="2" max="2" width="11.00390625" style="806" customWidth="1"/>
    <col min="3" max="3" width="39.125" style="806" customWidth="1"/>
    <col min="4" max="4" width="3.375" style="806" customWidth="1"/>
    <col min="5" max="5" width="15.625" style="806" customWidth="1"/>
    <col min="6" max="6" width="14.375" style="806" customWidth="1"/>
    <col min="7" max="7" width="15.125" style="806" customWidth="1"/>
    <col min="8" max="8" width="10.125" style="806" bestFit="1" customWidth="1"/>
    <col min="9" max="9" width="10.375" style="806" customWidth="1"/>
    <col min="10" max="10" width="10.125" style="806" bestFit="1" customWidth="1"/>
    <col min="11" max="256" width="8.875" style="806" customWidth="1"/>
    <col min="257" max="257" width="5.00390625" style="806" customWidth="1"/>
    <col min="258" max="258" width="11.00390625" style="806" customWidth="1"/>
    <col min="259" max="259" width="39.125" style="806" customWidth="1"/>
    <col min="260" max="260" width="3.375" style="806" customWidth="1"/>
    <col min="261" max="261" width="9.00390625" style="806" customWidth="1"/>
    <col min="262" max="262" width="9.875" style="806" customWidth="1"/>
    <col min="263" max="263" width="15.125" style="806" customWidth="1"/>
    <col min="264" max="264" width="10.125" style="806" bestFit="1" customWidth="1"/>
    <col min="265" max="265" width="10.375" style="806" customWidth="1"/>
    <col min="266" max="266" width="10.125" style="806" bestFit="1" customWidth="1"/>
    <col min="267" max="512" width="8.875" style="806" customWidth="1"/>
    <col min="513" max="513" width="5.00390625" style="806" customWidth="1"/>
    <col min="514" max="514" width="11.00390625" style="806" customWidth="1"/>
    <col min="515" max="515" width="39.125" style="806" customWidth="1"/>
    <col min="516" max="516" width="3.375" style="806" customWidth="1"/>
    <col min="517" max="517" width="9.00390625" style="806" customWidth="1"/>
    <col min="518" max="518" width="9.875" style="806" customWidth="1"/>
    <col min="519" max="519" width="15.125" style="806" customWidth="1"/>
    <col min="520" max="520" width="10.125" style="806" bestFit="1" customWidth="1"/>
    <col min="521" max="521" width="10.375" style="806" customWidth="1"/>
    <col min="522" max="522" width="10.125" style="806" bestFit="1" customWidth="1"/>
    <col min="523" max="768" width="8.875" style="806" customWidth="1"/>
    <col min="769" max="769" width="5.00390625" style="806" customWidth="1"/>
    <col min="770" max="770" width="11.00390625" style="806" customWidth="1"/>
    <col min="771" max="771" width="39.125" style="806" customWidth="1"/>
    <col min="772" max="772" width="3.375" style="806" customWidth="1"/>
    <col min="773" max="773" width="9.00390625" style="806" customWidth="1"/>
    <col min="774" max="774" width="9.875" style="806" customWidth="1"/>
    <col min="775" max="775" width="15.125" style="806" customWidth="1"/>
    <col min="776" max="776" width="10.125" style="806" bestFit="1" customWidth="1"/>
    <col min="777" max="777" width="10.375" style="806" customWidth="1"/>
    <col min="778" max="778" width="10.125" style="806" bestFit="1" customWidth="1"/>
    <col min="779" max="1024" width="8.875" style="806" customWidth="1"/>
    <col min="1025" max="1025" width="5.00390625" style="806" customWidth="1"/>
    <col min="1026" max="1026" width="11.00390625" style="806" customWidth="1"/>
    <col min="1027" max="1027" width="39.125" style="806" customWidth="1"/>
    <col min="1028" max="1028" width="3.375" style="806" customWidth="1"/>
    <col min="1029" max="1029" width="9.00390625" style="806" customWidth="1"/>
    <col min="1030" max="1030" width="9.875" style="806" customWidth="1"/>
    <col min="1031" max="1031" width="15.125" style="806" customWidth="1"/>
    <col min="1032" max="1032" width="10.125" style="806" bestFit="1" customWidth="1"/>
    <col min="1033" max="1033" width="10.375" style="806" customWidth="1"/>
    <col min="1034" max="1034" width="10.125" style="806" bestFit="1" customWidth="1"/>
    <col min="1035" max="1280" width="8.875" style="806" customWidth="1"/>
    <col min="1281" max="1281" width="5.00390625" style="806" customWidth="1"/>
    <col min="1282" max="1282" width="11.00390625" style="806" customWidth="1"/>
    <col min="1283" max="1283" width="39.125" style="806" customWidth="1"/>
    <col min="1284" max="1284" width="3.375" style="806" customWidth="1"/>
    <col min="1285" max="1285" width="9.00390625" style="806" customWidth="1"/>
    <col min="1286" max="1286" width="9.875" style="806" customWidth="1"/>
    <col min="1287" max="1287" width="15.125" style="806" customWidth="1"/>
    <col min="1288" max="1288" width="10.125" style="806" bestFit="1" customWidth="1"/>
    <col min="1289" max="1289" width="10.375" style="806" customWidth="1"/>
    <col min="1290" max="1290" width="10.125" style="806" bestFit="1" customWidth="1"/>
    <col min="1291" max="1536" width="8.875" style="806" customWidth="1"/>
    <col min="1537" max="1537" width="5.00390625" style="806" customWidth="1"/>
    <col min="1538" max="1538" width="11.00390625" style="806" customWidth="1"/>
    <col min="1539" max="1539" width="39.125" style="806" customWidth="1"/>
    <col min="1540" max="1540" width="3.375" style="806" customWidth="1"/>
    <col min="1541" max="1541" width="9.00390625" style="806" customWidth="1"/>
    <col min="1542" max="1542" width="9.875" style="806" customWidth="1"/>
    <col min="1543" max="1543" width="15.125" style="806" customWidth="1"/>
    <col min="1544" max="1544" width="10.125" style="806" bestFit="1" customWidth="1"/>
    <col min="1545" max="1545" width="10.375" style="806" customWidth="1"/>
    <col min="1546" max="1546" width="10.125" style="806" bestFit="1" customWidth="1"/>
    <col min="1547" max="1792" width="8.875" style="806" customWidth="1"/>
    <col min="1793" max="1793" width="5.00390625" style="806" customWidth="1"/>
    <col min="1794" max="1794" width="11.00390625" style="806" customWidth="1"/>
    <col min="1795" max="1795" width="39.125" style="806" customWidth="1"/>
    <col min="1796" max="1796" width="3.375" style="806" customWidth="1"/>
    <col min="1797" max="1797" width="9.00390625" style="806" customWidth="1"/>
    <col min="1798" max="1798" width="9.875" style="806" customWidth="1"/>
    <col min="1799" max="1799" width="15.125" style="806" customWidth="1"/>
    <col min="1800" max="1800" width="10.125" style="806" bestFit="1" customWidth="1"/>
    <col min="1801" max="1801" width="10.375" style="806" customWidth="1"/>
    <col min="1802" max="1802" width="10.125" style="806" bestFit="1" customWidth="1"/>
    <col min="1803" max="2048" width="8.875" style="806" customWidth="1"/>
    <col min="2049" max="2049" width="5.00390625" style="806" customWidth="1"/>
    <col min="2050" max="2050" width="11.00390625" style="806" customWidth="1"/>
    <col min="2051" max="2051" width="39.125" style="806" customWidth="1"/>
    <col min="2052" max="2052" width="3.375" style="806" customWidth="1"/>
    <col min="2053" max="2053" width="9.00390625" style="806" customWidth="1"/>
    <col min="2054" max="2054" width="9.875" style="806" customWidth="1"/>
    <col min="2055" max="2055" width="15.125" style="806" customWidth="1"/>
    <col min="2056" max="2056" width="10.125" style="806" bestFit="1" customWidth="1"/>
    <col min="2057" max="2057" width="10.375" style="806" customWidth="1"/>
    <col min="2058" max="2058" width="10.125" style="806" bestFit="1" customWidth="1"/>
    <col min="2059" max="2304" width="8.875" style="806" customWidth="1"/>
    <col min="2305" max="2305" width="5.00390625" style="806" customWidth="1"/>
    <col min="2306" max="2306" width="11.00390625" style="806" customWidth="1"/>
    <col min="2307" max="2307" width="39.125" style="806" customWidth="1"/>
    <col min="2308" max="2308" width="3.375" style="806" customWidth="1"/>
    <col min="2309" max="2309" width="9.00390625" style="806" customWidth="1"/>
    <col min="2310" max="2310" width="9.875" style="806" customWidth="1"/>
    <col min="2311" max="2311" width="15.125" style="806" customWidth="1"/>
    <col min="2312" max="2312" width="10.125" style="806" bestFit="1" customWidth="1"/>
    <col min="2313" max="2313" width="10.375" style="806" customWidth="1"/>
    <col min="2314" max="2314" width="10.125" style="806" bestFit="1" customWidth="1"/>
    <col min="2315" max="2560" width="8.875" style="806" customWidth="1"/>
    <col min="2561" max="2561" width="5.00390625" style="806" customWidth="1"/>
    <col min="2562" max="2562" width="11.00390625" style="806" customWidth="1"/>
    <col min="2563" max="2563" width="39.125" style="806" customWidth="1"/>
    <col min="2564" max="2564" width="3.375" style="806" customWidth="1"/>
    <col min="2565" max="2565" width="9.00390625" style="806" customWidth="1"/>
    <col min="2566" max="2566" width="9.875" style="806" customWidth="1"/>
    <col min="2567" max="2567" width="15.125" style="806" customWidth="1"/>
    <col min="2568" max="2568" width="10.125" style="806" bestFit="1" customWidth="1"/>
    <col min="2569" max="2569" width="10.375" style="806" customWidth="1"/>
    <col min="2570" max="2570" width="10.125" style="806" bestFit="1" customWidth="1"/>
    <col min="2571" max="2816" width="8.875" style="806" customWidth="1"/>
    <col min="2817" max="2817" width="5.00390625" style="806" customWidth="1"/>
    <col min="2818" max="2818" width="11.00390625" style="806" customWidth="1"/>
    <col min="2819" max="2819" width="39.125" style="806" customWidth="1"/>
    <col min="2820" max="2820" width="3.375" style="806" customWidth="1"/>
    <col min="2821" max="2821" width="9.00390625" style="806" customWidth="1"/>
    <col min="2822" max="2822" width="9.875" style="806" customWidth="1"/>
    <col min="2823" max="2823" width="15.125" style="806" customWidth="1"/>
    <col min="2824" max="2824" width="10.125" style="806" bestFit="1" customWidth="1"/>
    <col min="2825" max="2825" width="10.375" style="806" customWidth="1"/>
    <col min="2826" max="2826" width="10.125" style="806" bestFit="1" customWidth="1"/>
    <col min="2827" max="3072" width="8.875" style="806" customWidth="1"/>
    <col min="3073" max="3073" width="5.00390625" style="806" customWidth="1"/>
    <col min="3074" max="3074" width="11.00390625" style="806" customWidth="1"/>
    <col min="3075" max="3075" width="39.125" style="806" customWidth="1"/>
    <col min="3076" max="3076" width="3.375" style="806" customWidth="1"/>
    <col min="3077" max="3077" width="9.00390625" style="806" customWidth="1"/>
    <col min="3078" max="3078" width="9.875" style="806" customWidth="1"/>
    <col min="3079" max="3079" width="15.125" style="806" customWidth="1"/>
    <col min="3080" max="3080" width="10.125" style="806" bestFit="1" customWidth="1"/>
    <col min="3081" max="3081" width="10.375" style="806" customWidth="1"/>
    <col min="3082" max="3082" width="10.125" style="806" bestFit="1" customWidth="1"/>
    <col min="3083" max="3328" width="8.875" style="806" customWidth="1"/>
    <col min="3329" max="3329" width="5.00390625" style="806" customWidth="1"/>
    <col min="3330" max="3330" width="11.00390625" style="806" customWidth="1"/>
    <col min="3331" max="3331" width="39.125" style="806" customWidth="1"/>
    <col min="3332" max="3332" width="3.375" style="806" customWidth="1"/>
    <col min="3333" max="3333" width="9.00390625" style="806" customWidth="1"/>
    <col min="3334" max="3334" width="9.875" style="806" customWidth="1"/>
    <col min="3335" max="3335" width="15.125" style="806" customWidth="1"/>
    <col min="3336" max="3336" width="10.125" style="806" bestFit="1" customWidth="1"/>
    <col min="3337" max="3337" width="10.375" style="806" customWidth="1"/>
    <col min="3338" max="3338" width="10.125" style="806" bestFit="1" customWidth="1"/>
    <col min="3339" max="3584" width="8.875" style="806" customWidth="1"/>
    <col min="3585" max="3585" width="5.00390625" style="806" customWidth="1"/>
    <col min="3586" max="3586" width="11.00390625" style="806" customWidth="1"/>
    <col min="3587" max="3587" width="39.125" style="806" customWidth="1"/>
    <col min="3588" max="3588" width="3.375" style="806" customWidth="1"/>
    <col min="3589" max="3589" width="9.00390625" style="806" customWidth="1"/>
    <col min="3590" max="3590" width="9.875" style="806" customWidth="1"/>
    <col min="3591" max="3591" width="15.125" style="806" customWidth="1"/>
    <col min="3592" max="3592" width="10.125" style="806" bestFit="1" customWidth="1"/>
    <col min="3593" max="3593" width="10.375" style="806" customWidth="1"/>
    <col min="3594" max="3594" width="10.125" style="806" bestFit="1" customWidth="1"/>
    <col min="3595" max="3840" width="8.875" style="806" customWidth="1"/>
    <col min="3841" max="3841" width="5.00390625" style="806" customWidth="1"/>
    <col min="3842" max="3842" width="11.00390625" style="806" customWidth="1"/>
    <col min="3843" max="3843" width="39.125" style="806" customWidth="1"/>
    <col min="3844" max="3844" width="3.375" style="806" customWidth="1"/>
    <col min="3845" max="3845" width="9.00390625" style="806" customWidth="1"/>
    <col min="3846" max="3846" width="9.875" style="806" customWidth="1"/>
    <col min="3847" max="3847" width="15.125" style="806" customWidth="1"/>
    <col min="3848" max="3848" width="10.125" style="806" bestFit="1" customWidth="1"/>
    <col min="3849" max="3849" width="10.375" style="806" customWidth="1"/>
    <col min="3850" max="3850" width="10.125" style="806" bestFit="1" customWidth="1"/>
    <col min="3851" max="4096" width="8.875" style="806" customWidth="1"/>
    <col min="4097" max="4097" width="5.00390625" style="806" customWidth="1"/>
    <col min="4098" max="4098" width="11.00390625" style="806" customWidth="1"/>
    <col min="4099" max="4099" width="39.125" style="806" customWidth="1"/>
    <col min="4100" max="4100" width="3.375" style="806" customWidth="1"/>
    <col min="4101" max="4101" width="9.00390625" style="806" customWidth="1"/>
    <col min="4102" max="4102" width="9.875" style="806" customWidth="1"/>
    <col min="4103" max="4103" width="15.125" style="806" customWidth="1"/>
    <col min="4104" max="4104" width="10.125" style="806" bestFit="1" customWidth="1"/>
    <col min="4105" max="4105" width="10.375" style="806" customWidth="1"/>
    <col min="4106" max="4106" width="10.125" style="806" bestFit="1" customWidth="1"/>
    <col min="4107" max="4352" width="8.875" style="806" customWidth="1"/>
    <col min="4353" max="4353" width="5.00390625" style="806" customWidth="1"/>
    <col min="4354" max="4354" width="11.00390625" style="806" customWidth="1"/>
    <col min="4355" max="4355" width="39.125" style="806" customWidth="1"/>
    <col min="4356" max="4356" width="3.375" style="806" customWidth="1"/>
    <col min="4357" max="4357" width="9.00390625" style="806" customWidth="1"/>
    <col min="4358" max="4358" width="9.875" style="806" customWidth="1"/>
    <col min="4359" max="4359" width="15.125" style="806" customWidth="1"/>
    <col min="4360" max="4360" width="10.125" style="806" bestFit="1" customWidth="1"/>
    <col min="4361" max="4361" width="10.375" style="806" customWidth="1"/>
    <col min="4362" max="4362" width="10.125" style="806" bestFit="1" customWidth="1"/>
    <col min="4363" max="4608" width="8.875" style="806" customWidth="1"/>
    <col min="4609" max="4609" width="5.00390625" style="806" customWidth="1"/>
    <col min="4610" max="4610" width="11.00390625" style="806" customWidth="1"/>
    <col min="4611" max="4611" width="39.125" style="806" customWidth="1"/>
    <col min="4612" max="4612" width="3.375" style="806" customWidth="1"/>
    <col min="4613" max="4613" width="9.00390625" style="806" customWidth="1"/>
    <col min="4614" max="4614" width="9.875" style="806" customWidth="1"/>
    <col min="4615" max="4615" width="15.125" style="806" customWidth="1"/>
    <col min="4616" max="4616" width="10.125" style="806" bestFit="1" customWidth="1"/>
    <col min="4617" max="4617" width="10.375" style="806" customWidth="1"/>
    <col min="4618" max="4618" width="10.125" style="806" bestFit="1" customWidth="1"/>
    <col min="4619" max="4864" width="8.875" style="806" customWidth="1"/>
    <col min="4865" max="4865" width="5.00390625" style="806" customWidth="1"/>
    <col min="4866" max="4866" width="11.00390625" style="806" customWidth="1"/>
    <col min="4867" max="4867" width="39.125" style="806" customWidth="1"/>
    <col min="4868" max="4868" width="3.375" style="806" customWidth="1"/>
    <col min="4869" max="4869" width="9.00390625" style="806" customWidth="1"/>
    <col min="4870" max="4870" width="9.875" style="806" customWidth="1"/>
    <col min="4871" max="4871" width="15.125" style="806" customWidth="1"/>
    <col min="4872" max="4872" width="10.125" style="806" bestFit="1" customWidth="1"/>
    <col min="4873" max="4873" width="10.375" style="806" customWidth="1"/>
    <col min="4874" max="4874" width="10.125" style="806" bestFit="1" customWidth="1"/>
    <col min="4875" max="5120" width="8.875" style="806" customWidth="1"/>
    <col min="5121" max="5121" width="5.00390625" style="806" customWidth="1"/>
    <col min="5122" max="5122" width="11.00390625" style="806" customWidth="1"/>
    <col min="5123" max="5123" width="39.125" style="806" customWidth="1"/>
    <col min="5124" max="5124" width="3.375" style="806" customWidth="1"/>
    <col min="5125" max="5125" width="9.00390625" style="806" customWidth="1"/>
    <col min="5126" max="5126" width="9.875" style="806" customWidth="1"/>
    <col min="5127" max="5127" width="15.125" style="806" customWidth="1"/>
    <col min="5128" max="5128" width="10.125" style="806" bestFit="1" customWidth="1"/>
    <col min="5129" max="5129" width="10.375" style="806" customWidth="1"/>
    <col min="5130" max="5130" width="10.125" style="806" bestFit="1" customWidth="1"/>
    <col min="5131" max="5376" width="8.875" style="806" customWidth="1"/>
    <col min="5377" max="5377" width="5.00390625" style="806" customWidth="1"/>
    <col min="5378" max="5378" width="11.00390625" style="806" customWidth="1"/>
    <col min="5379" max="5379" width="39.125" style="806" customWidth="1"/>
    <col min="5380" max="5380" width="3.375" style="806" customWidth="1"/>
    <col min="5381" max="5381" width="9.00390625" style="806" customWidth="1"/>
    <col min="5382" max="5382" width="9.875" style="806" customWidth="1"/>
    <col min="5383" max="5383" width="15.125" style="806" customWidth="1"/>
    <col min="5384" max="5384" width="10.125" style="806" bestFit="1" customWidth="1"/>
    <col min="5385" max="5385" width="10.375" style="806" customWidth="1"/>
    <col min="5386" max="5386" width="10.125" style="806" bestFit="1" customWidth="1"/>
    <col min="5387" max="5632" width="8.875" style="806" customWidth="1"/>
    <col min="5633" max="5633" width="5.00390625" style="806" customWidth="1"/>
    <col min="5634" max="5634" width="11.00390625" style="806" customWidth="1"/>
    <col min="5635" max="5635" width="39.125" style="806" customWidth="1"/>
    <col min="5636" max="5636" width="3.375" style="806" customWidth="1"/>
    <col min="5637" max="5637" width="9.00390625" style="806" customWidth="1"/>
    <col min="5638" max="5638" width="9.875" style="806" customWidth="1"/>
    <col min="5639" max="5639" width="15.125" style="806" customWidth="1"/>
    <col min="5640" max="5640" width="10.125" style="806" bestFit="1" customWidth="1"/>
    <col min="5641" max="5641" width="10.375" style="806" customWidth="1"/>
    <col min="5642" max="5642" width="10.125" style="806" bestFit="1" customWidth="1"/>
    <col min="5643" max="5888" width="8.875" style="806" customWidth="1"/>
    <col min="5889" max="5889" width="5.00390625" style="806" customWidth="1"/>
    <col min="5890" max="5890" width="11.00390625" style="806" customWidth="1"/>
    <col min="5891" max="5891" width="39.125" style="806" customWidth="1"/>
    <col min="5892" max="5892" width="3.375" style="806" customWidth="1"/>
    <col min="5893" max="5893" width="9.00390625" style="806" customWidth="1"/>
    <col min="5894" max="5894" width="9.875" style="806" customWidth="1"/>
    <col min="5895" max="5895" width="15.125" style="806" customWidth="1"/>
    <col min="5896" max="5896" width="10.125" style="806" bestFit="1" customWidth="1"/>
    <col min="5897" max="5897" width="10.375" style="806" customWidth="1"/>
    <col min="5898" max="5898" width="10.125" style="806" bestFit="1" customWidth="1"/>
    <col min="5899" max="6144" width="8.875" style="806" customWidth="1"/>
    <col min="6145" max="6145" width="5.00390625" style="806" customWidth="1"/>
    <col min="6146" max="6146" width="11.00390625" style="806" customWidth="1"/>
    <col min="6147" max="6147" width="39.125" style="806" customWidth="1"/>
    <col min="6148" max="6148" width="3.375" style="806" customWidth="1"/>
    <col min="6149" max="6149" width="9.00390625" style="806" customWidth="1"/>
    <col min="6150" max="6150" width="9.875" style="806" customWidth="1"/>
    <col min="6151" max="6151" width="15.125" style="806" customWidth="1"/>
    <col min="6152" max="6152" width="10.125" style="806" bestFit="1" customWidth="1"/>
    <col min="6153" max="6153" width="10.375" style="806" customWidth="1"/>
    <col min="6154" max="6154" width="10.125" style="806" bestFit="1" customWidth="1"/>
    <col min="6155" max="6400" width="8.875" style="806" customWidth="1"/>
    <col min="6401" max="6401" width="5.00390625" style="806" customWidth="1"/>
    <col min="6402" max="6402" width="11.00390625" style="806" customWidth="1"/>
    <col min="6403" max="6403" width="39.125" style="806" customWidth="1"/>
    <col min="6404" max="6404" width="3.375" style="806" customWidth="1"/>
    <col min="6405" max="6405" width="9.00390625" style="806" customWidth="1"/>
    <col min="6406" max="6406" width="9.875" style="806" customWidth="1"/>
    <col min="6407" max="6407" width="15.125" style="806" customWidth="1"/>
    <col min="6408" max="6408" width="10.125" style="806" bestFit="1" customWidth="1"/>
    <col min="6409" max="6409" width="10.375" style="806" customWidth="1"/>
    <col min="6410" max="6410" width="10.125" style="806" bestFit="1" customWidth="1"/>
    <col min="6411" max="6656" width="8.875" style="806" customWidth="1"/>
    <col min="6657" max="6657" width="5.00390625" style="806" customWidth="1"/>
    <col min="6658" max="6658" width="11.00390625" style="806" customWidth="1"/>
    <col min="6659" max="6659" width="39.125" style="806" customWidth="1"/>
    <col min="6660" max="6660" width="3.375" style="806" customWidth="1"/>
    <col min="6661" max="6661" width="9.00390625" style="806" customWidth="1"/>
    <col min="6662" max="6662" width="9.875" style="806" customWidth="1"/>
    <col min="6663" max="6663" width="15.125" style="806" customWidth="1"/>
    <col min="6664" max="6664" width="10.125" style="806" bestFit="1" customWidth="1"/>
    <col min="6665" max="6665" width="10.375" style="806" customWidth="1"/>
    <col min="6666" max="6666" width="10.125" style="806" bestFit="1" customWidth="1"/>
    <col min="6667" max="6912" width="8.875" style="806" customWidth="1"/>
    <col min="6913" max="6913" width="5.00390625" style="806" customWidth="1"/>
    <col min="6914" max="6914" width="11.00390625" style="806" customWidth="1"/>
    <col min="6915" max="6915" width="39.125" style="806" customWidth="1"/>
    <col min="6916" max="6916" width="3.375" style="806" customWidth="1"/>
    <col min="6917" max="6917" width="9.00390625" style="806" customWidth="1"/>
    <col min="6918" max="6918" width="9.875" style="806" customWidth="1"/>
    <col min="6919" max="6919" width="15.125" style="806" customWidth="1"/>
    <col min="6920" max="6920" width="10.125" style="806" bestFit="1" customWidth="1"/>
    <col min="6921" max="6921" width="10.375" style="806" customWidth="1"/>
    <col min="6922" max="6922" width="10.125" style="806" bestFit="1" customWidth="1"/>
    <col min="6923" max="7168" width="8.875" style="806" customWidth="1"/>
    <col min="7169" max="7169" width="5.00390625" style="806" customWidth="1"/>
    <col min="7170" max="7170" width="11.00390625" style="806" customWidth="1"/>
    <col min="7171" max="7171" width="39.125" style="806" customWidth="1"/>
    <col min="7172" max="7172" width="3.375" style="806" customWidth="1"/>
    <col min="7173" max="7173" width="9.00390625" style="806" customWidth="1"/>
    <col min="7174" max="7174" width="9.875" style="806" customWidth="1"/>
    <col min="7175" max="7175" width="15.125" style="806" customWidth="1"/>
    <col min="7176" max="7176" width="10.125" style="806" bestFit="1" customWidth="1"/>
    <col min="7177" max="7177" width="10.375" style="806" customWidth="1"/>
    <col min="7178" max="7178" width="10.125" style="806" bestFit="1" customWidth="1"/>
    <col min="7179" max="7424" width="8.875" style="806" customWidth="1"/>
    <col min="7425" max="7425" width="5.00390625" style="806" customWidth="1"/>
    <col min="7426" max="7426" width="11.00390625" style="806" customWidth="1"/>
    <col min="7427" max="7427" width="39.125" style="806" customWidth="1"/>
    <col min="7428" max="7428" width="3.375" style="806" customWidth="1"/>
    <col min="7429" max="7429" width="9.00390625" style="806" customWidth="1"/>
    <col min="7430" max="7430" width="9.875" style="806" customWidth="1"/>
    <col min="7431" max="7431" width="15.125" style="806" customWidth="1"/>
    <col min="7432" max="7432" width="10.125" style="806" bestFit="1" customWidth="1"/>
    <col min="7433" max="7433" width="10.375" style="806" customWidth="1"/>
    <col min="7434" max="7434" width="10.125" style="806" bestFit="1" customWidth="1"/>
    <col min="7435" max="7680" width="8.875" style="806" customWidth="1"/>
    <col min="7681" max="7681" width="5.00390625" style="806" customWidth="1"/>
    <col min="7682" max="7682" width="11.00390625" style="806" customWidth="1"/>
    <col min="7683" max="7683" width="39.125" style="806" customWidth="1"/>
    <col min="7684" max="7684" width="3.375" style="806" customWidth="1"/>
    <col min="7685" max="7685" width="9.00390625" style="806" customWidth="1"/>
    <col min="7686" max="7686" width="9.875" style="806" customWidth="1"/>
    <col min="7687" max="7687" width="15.125" style="806" customWidth="1"/>
    <col min="7688" max="7688" width="10.125" style="806" bestFit="1" customWidth="1"/>
    <col min="7689" max="7689" width="10.375" style="806" customWidth="1"/>
    <col min="7690" max="7690" width="10.125" style="806" bestFit="1" customWidth="1"/>
    <col min="7691" max="7936" width="8.875" style="806" customWidth="1"/>
    <col min="7937" max="7937" width="5.00390625" style="806" customWidth="1"/>
    <col min="7938" max="7938" width="11.00390625" style="806" customWidth="1"/>
    <col min="7939" max="7939" width="39.125" style="806" customWidth="1"/>
    <col min="7940" max="7940" width="3.375" style="806" customWidth="1"/>
    <col min="7941" max="7941" width="9.00390625" style="806" customWidth="1"/>
    <col min="7942" max="7942" width="9.875" style="806" customWidth="1"/>
    <col min="7943" max="7943" width="15.125" style="806" customWidth="1"/>
    <col min="7944" max="7944" width="10.125" style="806" bestFit="1" customWidth="1"/>
    <col min="7945" max="7945" width="10.375" style="806" customWidth="1"/>
    <col min="7946" max="7946" width="10.125" style="806" bestFit="1" customWidth="1"/>
    <col min="7947" max="8192" width="8.875" style="806" customWidth="1"/>
    <col min="8193" max="8193" width="5.00390625" style="806" customWidth="1"/>
    <col min="8194" max="8194" width="11.00390625" style="806" customWidth="1"/>
    <col min="8195" max="8195" width="39.125" style="806" customWidth="1"/>
    <col min="8196" max="8196" width="3.375" style="806" customWidth="1"/>
    <col min="8197" max="8197" width="9.00390625" style="806" customWidth="1"/>
    <col min="8198" max="8198" width="9.875" style="806" customWidth="1"/>
    <col min="8199" max="8199" width="15.125" style="806" customWidth="1"/>
    <col min="8200" max="8200" width="10.125" style="806" bestFit="1" customWidth="1"/>
    <col min="8201" max="8201" width="10.375" style="806" customWidth="1"/>
    <col min="8202" max="8202" width="10.125" style="806" bestFit="1" customWidth="1"/>
    <col min="8203" max="8448" width="8.875" style="806" customWidth="1"/>
    <col min="8449" max="8449" width="5.00390625" style="806" customWidth="1"/>
    <col min="8450" max="8450" width="11.00390625" style="806" customWidth="1"/>
    <col min="8451" max="8451" width="39.125" style="806" customWidth="1"/>
    <col min="8452" max="8452" width="3.375" style="806" customWidth="1"/>
    <col min="8453" max="8453" width="9.00390625" style="806" customWidth="1"/>
    <col min="8454" max="8454" width="9.875" style="806" customWidth="1"/>
    <col min="8455" max="8455" width="15.125" style="806" customWidth="1"/>
    <col min="8456" max="8456" width="10.125" style="806" bestFit="1" customWidth="1"/>
    <col min="8457" max="8457" width="10.375" style="806" customWidth="1"/>
    <col min="8458" max="8458" width="10.125" style="806" bestFit="1" customWidth="1"/>
    <col min="8459" max="8704" width="8.875" style="806" customWidth="1"/>
    <col min="8705" max="8705" width="5.00390625" style="806" customWidth="1"/>
    <col min="8706" max="8706" width="11.00390625" style="806" customWidth="1"/>
    <col min="8707" max="8707" width="39.125" style="806" customWidth="1"/>
    <col min="8708" max="8708" width="3.375" style="806" customWidth="1"/>
    <col min="8709" max="8709" width="9.00390625" style="806" customWidth="1"/>
    <col min="8710" max="8710" width="9.875" style="806" customWidth="1"/>
    <col min="8711" max="8711" width="15.125" style="806" customWidth="1"/>
    <col min="8712" max="8712" width="10.125" style="806" bestFit="1" customWidth="1"/>
    <col min="8713" max="8713" width="10.375" style="806" customWidth="1"/>
    <col min="8714" max="8714" width="10.125" style="806" bestFit="1" customWidth="1"/>
    <col min="8715" max="8960" width="8.875" style="806" customWidth="1"/>
    <col min="8961" max="8961" width="5.00390625" style="806" customWidth="1"/>
    <col min="8962" max="8962" width="11.00390625" style="806" customWidth="1"/>
    <col min="8963" max="8963" width="39.125" style="806" customWidth="1"/>
    <col min="8964" max="8964" width="3.375" style="806" customWidth="1"/>
    <col min="8965" max="8965" width="9.00390625" style="806" customWidth="1"/>
    <col min="8966" max="8966" width="9.875" style="806" customWidth="1"/>
    <col min="8967" max="8967" width="15.125" style="806" customWidth="1"/>
    <col min="8968" max="8968" width="10.125" style="806" bestFit="1" customWidth="1"/>
    <col min="8969" max="8969" width="10.375" style="806" customWidth="1"/>
    <col min="8970" max="8970" width="10.125" style="806" bestFit="1" customWidth="1"/>
    <col min="8971" max="9216" width="8.875" style="806" customWidth="1"/>
    <col min="9217" max="9217" width="5.00390625" style="806" customWidth="1"/>
    <col min="9218" max="9218" width="11.00390625" style="806" customWidth="1"/>
    <col min="9219" max="9219" width="39.125" style="806" customWidth="1"/>
    <col min="9220" max="9220" width="3.375" style="806" customWidth="1"/>
    <col min="9221" max="9221" width="9.00390625" style="806" customWidth="1"/>
    <col min="9222" max="9222" width="9.875" style="806" customWidth="1"/>
    <col min="9223" max="9223" width="15.125" style="806" customWidth="1"/>
    <col min="9224" max="9224" width="10.125" style="806" bestFit="1" customWidth="1"/>
    <col min="9225" max="9225" width="10.375" style="806" customWidth="1"/>
    <col min="9226" max="9226" width="10.125" style="806" bestFit="1" customWidth="1"/>
    <col min="9227" max="9472" width="8.875" style="806" customWidth="1"/>
    <col min="9473" max="9473" width="5.00390625" style="806" customWidth="1"/>
    <col min="9474" max="9474" width="11.00390625" style="806" customWidth="1"/>
    <col min="9475" max="9475" width="39.125" style="806" customWidth="1"/>
    <col min="9476" max="9476" width="3.375" style="806" customWidth="1"/>
    <col min="9477" max="9477" width="9.00390625" style="806" customWidth="1"/>
    <col min="9478" max="9478" width="9.875" style="806" customWidth="1"/>
    <col min="9479" max="9479" width="15.125" style="806" customWidth="1"/>
    <col min="9480" max="9480" width="10.125" style="806" bestFit="1" customWidth="1"/>
    <col min="9481" max="9481" width="10.375" style="806" customWidth="1"/>
    <col min="9482" max="9482" width="10.125" style="806" bestFit="1" customWidth="1"/>
    <col min="9483" max="9728" width="8.875" style="806" customWidth="1"/>
    <col min="9729" max="9729" width="5.00390625" style="806" customWidth="1"/>
    <col min="9730" max="9730" width="11.00390625" style="806" customWidth="1"/>
    <col min="9731" max="9731" width="39.125" style="806" customWidth="1"/>
    <col min="9732" max="9732" width="3.375" style="806" customWidth="1"/>
    <col min="9733" max="9733" width="9.00390625" style="806" customWidth="1"/>
    <col min="9734" max="9734" width="9.875" style="806" customWidth="1"/>
    <col min="9735" max="9735" width="15.125" style="806" customWidth="1"/>
    <col min="9736" max="9736" width="10.125" style="806" bestFit="1" customWidth="1"/>
    <col min="9737" max="9737" width="10.375" style="806" customWidth="1"/>
    <col min="9738" max="9738" width="10.125" style="806" bestFit="1" customWidth="1"/>
    <col min="9739" max="9984" width="8.875" style="806" customWidth="1"/>
    <col min="9985" max="9985" width="5.00390625" style="806" customWidth="1"/>
    <col min="9986" max="9986" width="11.00390625" style="806" customWidth="1"/>
    <col min="9987" max="9987" width="39.125" style="806" customWidth="1"/>
    <col min="9988" max="9988" width="3.375" style="806" customWidth="1"/>
    <col min="9989" max="9989" width="9.00390625" style="806" customWidth="1"/>
    <col min="9990" max="9990" width="9.875" style="806" customWidth="1"/>
    <col min="9991" max="9991" width="15.125" style="806" customWidth="1"/>
    <col min="9992" max="9992" width="10.125" style="806" bestFit="1" customWidth="1"/>
    <col min="9993" max="9993" width="10.375" style="806" customWidth="1"/>
    <col min="9994" max="9994" width="10.125" style="806" bestFit="1" customWidth="1"/>
    <col min="9995" max="10240" width="8.875" style="806" customWidth="1"/>
    <col min="10241" max="10241" width="5.00390625" style="806" customWidth="1"/>
    <col min="10242" max="10242" width="11.00390625" style="806" customWidth="1"/>
    <col min="10243" max="10243" width="39.125" style="806" customWidth="1"/>
    <col min="10244" max="10244" width="3.375" style="806" customWidth="1"/>
    <col min="10245" max="10245" width="9.00390625" style="806" customWidth="1"/>
    <col min="10246" max="10246" width="9.875" style="806" customWidth="1"/>
    <col min="10247" max="10247" width="15.125" style="806" customWidth="1"/>
    <col min="10248" max="10248" width="10.125" style="806" bestFit="1" customWidth="1"/>
    <col min="10249" max="10249" width="10.375" style="806" customWidth="1"/>
    <col min="10250" max="10250" width="10.125" style="806" bestFit="1" customWidth="1"/>
    <col min="10251" max="10496" width="8.875" style="806" customWidth="1"/>
    <col min="10497" max="10497" width="5.00390625" style="806" customWidth="1"/>
    <col min="10498" max="10498" width="11.00390625" style="806" customWidth="1"/>
    <col min="10499" max="10499" width="39.125" style="806" customWidth="1"/>
    <col min="10500" max="10500" width="3.375" style="806" customWidth="1"/>
    <col min="10501" max="10501" width="9.00390625" style="806" customWidth="1"/>
    <col min="10502" max="10502" width="9.875" style="806" customWidth="1"/>
    <col min="10503" max="10503" width="15.125" style="806" customWidth="1"/>
    <col min="10504" max="10504" width="10.125" style="806" bestFit="1" customWidth="1"/>
    <col min="10505" max="10505" width="10.375" style="806" customWidth="1"/>
    <col min="10506" max="10506" width="10.125" style="806" bestFit="1" customWidth="1"/>
    <col min="10507" max="10752" width="8.875" style="806" customWidth="1"/>
    <col min="10753" max="10753" width="5.00390625" style="806" customWidth="1"/>
    <col min="10754" max="10754" width="11.00390625" style="806" customWidth="1"/>
    <col min="10755" max="10755" width="39.125" style="806" customWidth="1"/>
    <col min="10756" max="10756" width="3.375" style="806" customWidth="1"/>
    <col min="10757" max="10757" width="9.00390625" style="806" customWidth="1"/>
    <col min="10758" max="10758" width="9.875" style="806" customWidth="1"/>
    <col min="10759" max="10759" width="15.125" style="806" customWidth="1"/>
    <col min="10760" max="10760" width="10.125" style="806" bestFit="1" customWidth="1"/>
    <col min="10761" max="10761" width="10.375" style="806" customWidth="1"/>
    <col min="10762" max="10762" width="10.125" style="806" bestFit="1" customWidth="1"/>
    <col min="10763" max="11008" width="8.875" style="806" customWidth="1"/>
    <col min="11009" max="11009" width="5.00390625" style="806" customWidth="1"/>
    <col min="11010" max="11010" width="11.00390625" style="806" customWidth="1"/>
    <col min="11011" max="11011" width="39.125" style="806" customWidth="1"/>
    <col min="11012" max="11012" width="3.375" style="806" customWidth="1"/>
    <col min="11013" max="11013" width="9.00390625" style="806" customWidth="1"/>
    <col min="11014" max="11014" width="9.875" style="806" customWidth="1"/>
    <col min="11015" max="11015" width="15.125" style="806" customWidth="1"/>
    <col min="11016" max="11016" width="10.125" style="806" bestFit="1" customWidth="1"/>
    <col min="11017" max="11017" width="10.375" style="806" customWidth="1"/>
    <col min="11018" max="11018" width="10.125" style="806" bestFit="1" customWidth="1"/>
    <col min="11019" max="11264" width="8.875" style="806" customWidth="1"/>
    <col min="11265" max="11265" width="5.00390625" style="806" customWidth="1"/>
    <col min="11266" max="11266" width="11.00390625" style="806" customWidth="1"/>
    <col min="11267" max="11267" width="39.125" style="806" customWidth="1"/>
    <col min="11268" max="11268" width="3.375" style="806" customWidth="1"/>
    <col min="11269" max="11269" width="9.00390625" style="806" customWidth="1"/>
    <col min="11270" max="11270" width="9.875" style="806" customWidth="1"/>
    <col min="11271" max="11271" width="15.125" style="806" customWidth="1"/>
    <col min="11272" max="11272" width="10.125" style="806" bestFit="1" customWidth="1"/>
    <col min="11273" max="11273" width="10.375" style="806" customWidth="1"/>
    <col min="11274" max="11274" width="10.125" style="806" bestFit="1" customWidth="1"/>
    <col min="11275" max="11520" width="8.875" style="806" customWidth="1"/>
    <col min="11521" max="11521" width="5.00390625" style="806" customWidth="1"/>
    <col min="11522" max="11522" width="11.00390625" style="806" customWidth="1"/>
    <col min="11523" max="11523" width="39.125" style="806" customWidth="1"/>
    <col min="11524" max="11524" width="3.375" style="806" customWidth="1"/>
    <col min="11525" max="11525" width="9.00390625" style="806" customWidth="1"/>
    <col min="11526" max="11526" width="9.875" style="806" customWidth="1"/>
    <col min="11527" max="11527" width="15.125" style="806" customWidth="1"/>
    <col min="11528" max="11528" width="10.125" style="806" bestFit="1" customWidth="1"/>
    <col min="11529" max="11529" width="10.375" style="806" customWidth="1"/>
    <col min="11530" max="11530" width="10.125" style="806" bestFit="1" customWidth="1"/>
    <col min="11531" max="11776" width="8.875" style="806" customWidth="1"/>
    <col min="11777" max="11777" width="5.00390625" style="806" customWidth="1"/>
    <col min="11778" max="11778" width="11.00390625" style="806" customWidth="1"/>
    <col min="11779" max="11779" width="39.125" style="806" customWidth="1"/>
    <col min="11780" max="11780" width="3.375" style="806" customWidth="1"/>
    <col min="11781" max="11781" width="9.00390625" style="806" customWidth="1"/>
    <col min="11782" max="11782" width="9.875" style="806" customWidth="1"/>
    <col min="11783" max="11783" width="15.125" style="806" customWidth="1"/>
    <col min="11784" max="11784" width="10.125" style="806" bestFit="1" customWidth="1"/>
    <col min="11785" max="11785" width="10.375" style="806" customWidth="1"/>
    <col min="11786" max="11786" width="10.125" style="806" bestFit="1" customWidth="1"/>
    <col min="11787" max="12032" width="8.875" style="806" customWidth="1"/>
    <col min="12033" max="12033" width="5.00390625" style="806" customWidth="1"/>
    <col min="12034" max="12034" width="11.00390625" style="806" customWidth="1"/>
    <col min="12035" max="12035" width="39.125" style="806" customWidth="1"/>
    <col min="12036" max="12036" width="3.375" style="806" customWidth="1"/>
    <col min="12037" max="12037" width="9.00390625" style="806" customWidth="1"/>
    <col min="12038" max="12038" width="9.875" style="806" customWidth="1"/>
    <col min="12039" max="12039" width="15.125" style="806" customWidth="1"/>
    <col min="12040" max="12040" width="10.125" style="806" bestFit="1" customWidth="1"/>
    <col min="12041" max="12041" width="10.375" style="806" customWidth="1"/>
    <col min="12042" max="12042" width="10.125" style="806" bestFit="1" customWidth="1"/>
    <col min="12043" max="12288" width="8.875" style="806" customWidth="1"/>
    <col min="12289" max="12289" width="5.00390625" style="806" customWidth="1"/>
    <col min="12290" max="12290" width="11.00390625" style="806" customWidth="1"/>
    <col min="12291" max="12291" width="39.125" style="806" customWidth="1"/>
    <col min="12292" max="12292" width="3.375" style="806" customWidth="1"/>
    <col min="12293" max="12293" width="9.00390625" style="806" customWidth="1"/>
    <col min="12294" max="12294" width="9.875" style="806" customWidth="1"/>
    <col min="12295" max="12295" width="15.125" style="806" customWidth="1"/>
    <col min="12296" max="12296" width="10.125" style="806" bestFit="1" customWidth="1"/>
    <col min="12297" max="12297" width="10.375" style="806" customWidth="1"/>
    <col min="12298" max="12298" width="10.125" style="806" bestFit="1" customWidth="1"/>
    <col min="12299" max="12544" width="8.875" style="806" customWidth="1"/>
    <col min="12545" max="12545" width="5.00390625" style="806" customWidth="1"/>
    <col min="12546" max="12546" width="11.00390625" style="806" customWidth="1"/>
    <col min="12547" max="12547" width="39.125" style="806" customWidth="1"/>
    <col min="12548" max="12548" width="3.375" style="806" customWidth="1"/>
    <col min="12549" max="12549" width="9.00390625" style="806" customWidth="1"/>
    <col min="12550" max="12550" width="9.875" style="806" customWidth="1"/>
    <col min="12551" max="12551" width="15.125" style="806" customWidth="1"/>
    <col min="12552" max="12552" width="10.125" style="806" bestFit="1" customWidth="1"/>
    <col min="12553" max="12553" width="10.375" style="806" customWidth="1"/>
    <col min="12554" max="12554" width="10.125" style="806" bestFit="1" customWidth="1"/>
    <col min="12555" max="12800" width="8.875" style="806" customWidth="1"/>
    <col min="12801" max="12801" width="5.00390625" style="806" customWidth="1"/>
    <col min="12802" max="12802" width="11.00390625" style="806" customWidth="1"/>
    <col min="12803" max="12803" width="39.125" style="806" customWidth="1"/>
    <col min="12804" max="12804" width="3.375" style="806" customWidth="1"/>
    <col min="12805" max="12805" width="9.00390625" style="806" customWidth="1"/>
    <col min="12806" max="12806" width="9.875" style="806" customWidth="1"/>
    <col min="12807" max="12807" width="15.125" style="806" customWidth="1"/>
    <col min="12808" max="12808" width="10.125" style="806" bestFit="1" customWidth="1"/>
    <col min="12809" max="12809" width="10.375" style="806" customWidth="1"/>
    <col min="12810" max="12810" width="10.125" style="806" bestFit="1" customWidth="1"/>
    <col min="12811" max="13056" width="8.875" style="806" customWidth="1"/>
    <col min="13057" max="13057" width="5.00390625" style="806" customWidth="1"/>
    <col min="13058" max="13058" width="11.00390625" style="806" customWidth="1"/>
    <col min="13059" max="13059" width="39.125" style="806" customWidth="1"/>
    <col min="13060" max="13060" width="3.375" style="806" customWidth="1"/>
    <col min="13061" max="13061" width="9.00390625" style="806" customWidth="1"/>
    <col min="13062" max="13062" width="9.875" style="806" customWidth="1"/>
    <col min="13063" max="13063" width="15.125" style="806" customWidth="1"/>
    <col min="13064" max="13064" width="10.125" style="806" bestFit="1" customWidth="1"/>
    <col min="13065" max="13065" width="10.375" style="806" customWidth="1"/>
    <col min="13066" max="13066" width="10.125" style="806" bestFit="1" customWidth="1"/>
    <col min="13067" max="13312" width="8.875" style="806" customWidth="1"/>
    <col min="13313" max="13313" width="5.00390625" style="806" customWidth="1"/>
    <col min="13314" max="13314" width="11.00390625" style="806" customWidth="1"/>
    <col min="13315" max="13315" width="39.125" style="806" customWidth="1"/>
    <col min="13316" max="13316" width="3.375" style="806" customWidth="1"/>
    <col min="13317" max="13317" width="9.00390625" style="806" customWidth="1"/>
    <col min="13318" max="13318" width="9.875" style="806" customWidth="1"/>
    <col min="13319" max="13319" width="15.125" style="806" customWidth="1"/>
    <col min="13320" max="13320" width="10.125" style="806" bestFit="1" customWidth="1"/>
    <col min="13321" max="13321" width="10.375" style="806" customWidth="1"/>
    <col min="13322" max="13322" width="10.125" style="806" bestFit="1" customWidth="1"/>
    <col min="13323" max="13568" width="8.875" style="806" customWidth="1"/>
    <col min="13569" max="13569" width="5.00390625" style="806" customWidth="1"/>
    <col min="13570" max="13570" width="11.00390625" style="806" customWidth="1"/>
    <col min="13571" max="13571" width="39.125" style="806" customWidth="1"/>
    <col min="13572" max="13572" width="3.375" style="806" customWidth="1"/>
    <col min="13573" max="13573" width="9.00390625" style="806" customWidth="1"/>
    <col min="13574" max="13574" width="9.875" style="806" customWidth="1"/>
    <col min="13575" max="13575" width="15.125" style="806" customWidth="1"/>
    <col min="13576" max="13576" width="10.125" style="806" bestFit="1" customWidth="1"/>
    <col min="13577" max="13577" width="10.375" style="806" customWidth="1"/>
    <col min="13578" max="13578" width="10.125" style="806" bestFit="1" customWidth="1"/>
    <col min="13579" max="13824" width="8.875" style="806" customWidth="1"/>
    <col min="13825" max="13825" width="5.00390625" style="806" customWidth="1"/>
    <col min="13826" max="13826" width="11.00390625" style="806" customWidth="1"/>
    <col min="13827" max="13827" width="39.125" style="806" customWidth="1"/>
    <col min="13828" max="13828" width="3.375" style="806" customWidth="1"/>
    <col min="13829" max="13829" width="9.00390625" style="806" customWidth="1"/>
    <col min="13830" max="13830" width="9.875" style="806" customWidth="1"/>
    <col min="13831" max="13831" width="15.125" style="806" customWidth="1"/>
    <col min="13832" max="13832" width="10.125" style="806" bestFit="1" customWidth="1"/>
    <col min="13833" max="13833" width="10.375" style="806" customWidth="1"/>
    <col min="13834" max="13834" width="10.125" style="806" bestFit="1" customWidth="1"/>
    <col min="13835" max="14080" width="8.875" style="806" customWidth="1"/>
    <col min="14081" max="14081" width="5.00390625" style="806" customWidth="1"/>
    <col min="14082" max="14082" width="11.00390625" style="806" customWidth="1"/>
    <col min="14083" max="14083" width="39.125" style="806" customWidth="1"/>
    <col min="14084" max="14084" width="3.375" style="806" customWidth="1"/>
    <col min="14085" max="14085" width="9.00390625" style="806" customWidth="1"/>
    <col min="14086" max="14086" width="9.875" style="806" customWidth="1"/>
    <col min="14087" max="14087" width="15.125" style="806" customWidth="1"/>
    <col min="14088" max="14088" width="10.125" style="806" bestFit="1" customWidth="1"/>
    <col min="14089" max="14089" width="10.375" style="806" customWidth="1"/>
    <col min="14090" max="14090" width="10.125" style="806" bestFit="1" customWidth="1"/>
    <col min="14091" max="14336" width="8.875" style="806" customWidth="1"/>
    <col min="14337" max="14337" width="5.00390625" style="806" customWidth="1"/>
    <col min="14338" max="14338" width="11.00390625" style="806" customWidth="1"/>
    <col min="14339" max="14339" width="39.125" style="806" customWidth="1"/>
    <col min="14340" max="14340" width="3.375" style="806" customWidth="1"/>
    <col min="14341" max="14341" width="9.00390625" style="806" customWidth="1"/>
    <col min="14342" max="14342" width="9.875" style="806" customWidth="1"/>
    <col min="14343" max="14343" width="15.125" style="806" customWidth="1"/>
    <col min="14344" max="14344" width="10.125" style="806" bestFit="1" customWidth="1"/>
    <col min="14345" max="14345" width="10.375" style="806" customWidth="1"/>
    <col min="14346" max="14346" width="10.125" style="806" bestFit="1" customWidth="1"/>
    <col min="14347" max="14592" width="8.875" style="806" customWidth="1"/>
    <col min="14593" max="14593" width="5.00390625" style="806" customWidth="1"/>
    <col min="14594" max="14594" width="11.00390625" style="806" customWidth="1"/>
    <col min="14595" max="14595" width="39.125" style="806" customWidth="1"/>
    <col min="14596" max="14596" width="3.375" style="806" customWidth="1"/>
    <col min="14597" max="14597" width="9.00390625" style="806" customWidth="1"/>
    <col min="14598" max="14598" width="9.875" style="806" customWidth="1"/>
    <col min="14599" max="14599" width="15.125" style="806" customWidth="1"/>
    <col min="14600" max="14600" width="10.125" style="806" bestFit="1" customWidth="1"/>
    <col min="14601" max="14601" width="10.375" style="806" customWidth="1"/>
    <col min="14602" max="14602" width="10.125" style="806" bestFit="1" customWidth="1"/>
    <col min="14603" max="14848" width="8.875" style="806" customWidth="1"/>
    <col min="14849" max="14849" width="5.00390625" style="806" customWidth="1"/>
    <col min="14850" max="14850" width="11.00390625" style="806" customWidth="1"/>
    <col min="14851" max="14851" width="39.125" style="806" customWidth="1"/>
    <col min="14852" max="14852" width="3.375" style="806" customWidth="1"/>
    <col min="14853" max="14853" width="9.00390625" style="806" customWidth="1"/>
    <col min="14854" max="14854" width="9.875" style="806" customWidth="1"/>
    <col min="14855" max="14855" width="15.125" style="806" customWidth="1"/>
    <col min="14856" max="14856" width="10.125" style="806" bestFit="1" customWidth="1"/>
    <col min="14857" max="14857" width="10.375" style="806" customWidth="1"/>
    <col min="14858" max="14858" width="10.125" style="806" bestFit="1" customWidth="1"/>
    <col min="14859" max="15104" width="8.875" style="806" customWidth="1"/>
    <col min="15105" max="15105" width="5.00390625" style="806" customWidth="1"/>
    <col min="15106" max="15106" width="11.00390625" style="806" customWidth="1"/>
    <col min="15107" max="15107" width="39.125" style="806" customWidth="1"/>
    <col min="15108" max="15108" width="3.375" style="806" customWidth="1"/>
    <col min="15109" max="15109" width="9.00390625" style="806" customWidth="1"/>
    <col min="15110" max="15110" width="9.875" style="806" customWidth="1"/>
    <col min="15111" max="15111" width="15.125" style="806" customWidth="1"/>
    <col min="15112" max="15112" width="10.125" style="806" bestFit="1" customWidth="1"/>
    <col min="15113" max="15113" width="10.375" style="806" customWidth="1"/>
    <col min="15114" max="15114" width="10.125" style="806" bestFit="1" customWidth="1"/>
    <col min="15115" max="15360" width="8.875" style="806" customWidth="1"/>
    <col min="15361" max="15361" width="5.00390625" style="806" customWidth="1"/>
    <col min="15362" max="15362" width="11.00390625" style="806" customWidth="1"/>
    <col min="15363" max="15363" width="39.125" style="806" customWidth="1"/>
    <col min="15364" max="15364" width="3.375" style="806" customWidth="1"/>
    <col min="15365" max="15365" width="9.00390625" style="806" customWidth="1"/>
    <col min="15366" max="15366" width="9.875" style="806" customWidth="1"/>
    <col min="15367" max="15367" width="15.125" style="806" customWidth="1"/>
    <col min="15368" max="15368" width="10.125" style="806" bestFit="1" customWidth="1"/>
    <col min="15369" max="15369" width="10.375" style="806" customWidth="1"/>
    <col min="15370" max="15370" width="10.125" style="806" bestFit="1" customWidth="1"/>
    <col min="15371" max="15616" width="8.875" style="806" customWidth="1"/>
    <col min="15617" max="15617" width="5.00390625" style="806" customWidth="1"/>
    <col min="15618" max="15618" width="11.00390625" style="806" customWidth="1"/>
    <col min="15619" max="15619" width="39.125" style="806" customWidth="1"/>
    <col min="15620" max="15620" width="3.375" style="806" customWidth="1"/>
    <col min="15621" max="15621" width="9.00390625" style="806" customWidth="1"/>
    <col min="15622" max="15622" width="9.875" style="806" customWidth="1"/>
    <col min="15623" max="15623" width="15.125" style="806" customWidth="1"/>
    <col min="15624" max="15624" width="10.125" style="806" bestFit="1" customWidth="1"/>
    <col min="15625" max="15625" width="10.375" style="806" customWidth="1"/>
    <col min="15626" max="15626" width="10.125" style="806" bestFit="1" customWidth="1"/>
    <col min="15627" max="15872" width="8.875" style="806" customWidth="1"/>
    <col min="15873" max="15873" width="5.00390625" style="806" customWidth="1"/>
    <col min="15874" max="15874" width="11.00390625" style="806" customWidth="1"/>
    <col min="15875" max="15875" width="39.125" style="806" customWidth="1"/>
    <col min="15876" max="15876" width="3.375" style="806" customWidth="1"/>
    <col min="15877" max="15877" width="9.00390625" style="806" customWidth="1"/>
    <col min="15878" max="15878" width="9.875" style="806" customWidth="1"/>
    <col min="15879" max="15879" width="15.125" style="806" customWidth="1"/>
    <col min="15880" max="15880" width="10.125" style="806" bestFit="1" customWidth="1"/>
    <col min="15881" max="15881" width="10.375" style="806" customWidth="1"/>
    <col min="15882" max="15882" width="10.125" style="806" bestFit="1" customWidth="1"/>
    <col min="15883" max="16128" width="8.875" style="806" customWidth="1"/>
    <col min="16129" max="16129" width="5.00390625" style="806" customWidth="1"/>
    <col min="16130" max="16130" width="11.00390625" style="806" customWidth="1"/>
    <col min="16131" max="16131" width="39.125" style="806" customWidth="1"/>
    <col min="16132" max="16132" width="3.375" style="806" customWidth="1"/>
    <col min="16133" max="16133" width="9.00390625" style="806" customWidth="1"/>
    <col min="16134" max="16134" width="9.875" style="806" customWidth="1"/>
    <col min="16135" max="16135" width="15.125" style="806" customWidth="1"/>
    <col min="16136" max="16136" width="10.125" style="806" bestFit="1" customWidth="1"/>
    <col min="16137" max="16137" width="10.375" style="806" customWidth="1"/>
    <col min="16138" max="16138" width="10.125" style="806" bestFit="1" customWidth="1"/>
    <col min="16139" max="16384" width="8.875" style="806" customWidth="1"/>
  </cols>
  <sheetData>
    <row r="1" spans="1:8" s="804" customFormat="1" ht="16.8">
      <c r="A1" s="801"/>
      <c r="B1" s="1660" t="s">
        <v>1632</v>
      </c>
      <c r="C1" s="1660"/>
      <c r="D1" s="802"/>
      <c r="E1" s="802"/>
      <c r="F1" s="802"/>
      <c r="G1" s="802"/>
      <c r="H1" s="803"/>
    </row>
    <row r="2" spans="1:7" ht="12.75">
      <c r="A2" s="805"/>
      <c r="B2" s="805"/>
      <c r="C2" s="805"/>
      <c r="D2" s="805"/>
      <c r="E2" s="805"/>
      <c r="F2" s="805"/>
      <c r="G2" s="805"/>
    </row>
    <row r="3" spans="1:8" s="808" customFormat="1" ht="21">
      <c r="A3" s="1661" t="s">
        <v>1633</v>
      </c>
      <c r="B3" s="1661"/>
      <c r="C3" s="1661"/>
      <c r="D3" s="1661"/>
      <c r="E3" s="1661"/>
      <c r="F3" s="1661"/>
      <c r="G3" s="1661"/>
      <c r="H3" s="807"/>
    </row>
    <row r="4" spans="1:8" s="809" customFormat="1" ht="21">
      <c r="A4" s="1661" t="s">
        <v>1634</v>
      </c>
      <c r="B4" s="1661"/>
      <c r="C4" s="1661"/>
      <c r="D4" s="1661"/>
      <c r="E4" s="1661"/>
      <c r="F4" s="1661"/>
      <c r="G4" s="1661"/>
      <c r="H4" s="807"/>
    </row>
    <row r="5" spans="1:8" s="809" customFormat="1" ht="21">
      <c r="A5" s="810"/>
      <c r="B5" s="810"/>
      <c r="C5" s="810"/>
      <c r="D5" s="810"/>
      <c r="E5" s="810"/>
      <c r="F5" s="810"/>
      <c r="G5" s="810"/>
      <c r="H5" s="807"/>
    </row>
    <row r="6" spans="1:7" ht="12.75">
      <c r="A6" s="811"/>
      <c r="B6" s="811"/>
      <c r="C6" s="811"/>
      <c r="D6" s="811"/>
      <c r="E6" s="811"/>
      <c r="F6" s="811"/>
      <c r="G6" s="811"/>
    </row>
    <row r="7" spans="1:7" s="815" customFormat="1" ht="12.75">
      <c r="A7" s="812"/>
      <c r="B7" s="813" t="s">
        <v>1635</v>
      </c>
      <c r="C7" s="813"/>
      <c r="D7" s="814"/>
      <c r="E7" s="814"/>
      <c r="F7" s="814"/>
      <c r="G7" s="814"/>
    </row>
    <row r="8" spans="1:7" s="815" customFormat="1" ht="12.75">
      <c r="A8" s="812"/>
      <c r="B8" s="814"/>
      <c r="C8" s="813"/>
      <c r="D8" s="814"/>
      <c r="E8" s="814"/>
      <c r="F8" s="814"/>
      <c r="G8" s="814"/>
    </row>
    <row r="9" spans="1:7" s="815" customFormat="1" ht="12.75">
      <c r="A9" s="812"/>
      <c r="B9" s="814"/>
      <c r="C9" s="813"/>
      <c r="D9" s="814"/>
      <c r="E9" s="814"/>
      <c r="F9" s="814"/>
      <c r="G9" s="814"/>
    </row>
    <row r="10" spans="1:7" s="815" customFormat="1" ht="12.75">
      <c r="A10" s="812"/>
      <c r="B10" s="816" t="s">
        <v>1636</v>
      </c>
      <c r="C10" s="1662" t="s">
        <v>1693</v>
      </c>
      <c r="D10" s="1659"/>
      <c r="E10" s="1659"/>
      <c r="F10" s="1659"/>
      <c r="G10" s="1659"/>
    </row>
    <row r="11" spans="1:7" s="815" customFormat="1" ht="12.75">
      <c r="A11" s="812"/>
      <c r="B11" s="816"/>
      <c r="C11" s="1662"/>
      <c r="D11" s="1659"/>
      <c r="E11" s="1659"/>
      <c r="F11" s="1659"/>
      <c r="G11" s="1659"/>
    </row>
    <row r="12" spans="1:7" s="815" customFormat="1" ht="12.75">
      <c r="A12" s="812"/>
      <c r="B12" s="816"/>
      <c r="C12" s="817"/>
      <c r="D12" s="817"/>
      <c r="E12" s="817"/>
      <c r="F12" s="817"/>
      <c r="G12" s="818"/>
    </row>
    <row r="13" spans="1:7" s="815" customFormat="1" ht="12.75">
      <c r="A13" s="812"/>
      <c r="B13" s="816" t="s">
        <v>1638</v>
      </c>
      <c r="C13" s="1658" t="s">
        <v>1639</v>
      </c>
      <c r="D13" s="1659"/>
      <c r="E13" s="819"/>
      <c r="F13" s="818"/>
      <c r="G13" s="818"/>
    </row>
    <row r="14" spans="1:7" s="815" customFormat="1" ht="12.75">
      <c r="A14" s="812"/>
      <c r="B14" s="816"/>
      <c r="C14" s="820"/>
      <c r="D14" s="817"/>
      <c r="E14" s="819"/>
      <c r="F14" s="818"/>
      <c r="G14" s="818"/>
    </row>
    <row r="15" spans="1:7" ht="12.75">
      <c r="A15" s="802"/>
      <c r="B15" s="1653"/>
      <c r="C15" s="1654"/>
      <c r="D15" s="802"/>
      <c r="E15" s="802"/>
      <c r="F15" s="821"/>
      <c r="G15" s="821"/>
    </row>
    <row r="16" spans="1:7" s="815" customFormat="1" ht="24.6">
      <c r="A16" s="802"/>
      <c r="B16" s="1655" t="s">
        <v>1640</v>
      </c>
      <c r="C16" s="1655"/>
      <c r="D16" s="1655"/>
      <c r="E16" s="1655"/>
      <c r="F16" s="1655"/>
      <c r="G16" s="1655"/>
    </row>
    <row r="17" spans="1:7" s="815" customFormat="1" ht="12.75" customHeight="1">
      <c r="A17" s="802"/>
      <c r="B17" s="822"/>
      <c r="C17" s="823"/>
      <c r="D17" s="824"/>
      <c r="E17" s="824"/>
      <c r="F17" s="824"/>
      <c r="G17" s="824"/>
    </row>
    <row r="18" spans="1:7" s="815" customFormat="1" ht="13.8">
      <c r="A18" s="825"/>
      <c r="B18" s="826" t="s">
        <v>1641</v>
      </c>
      <c r="C18" s="827"/>
      <c r="D18" s="828"/>
      <c r="E18" s="887">
        <v>0</v>
      </c>
      <c r="F18" s="887"/>
      <c r="G18" s="829"/>
    </row>
    <row r="19" spans="1:7" s="815" customFormat="1" ht="13.8">
      <c r="A19" s="825"/>
      <c r="B19" s="826"/>
      <c r="C19" s="827"/>
      <c r="D19" s="828"/>
      <c r="E19" s="887"/>
      <c r="F19" s="888"/>
      <c r="G19" s="829"/>
    </row>
    <row r="20" spans="1:7" s="815" customFormat="1" ht="13.8">
      <c r="A20" s="832"/>
      <c r="B20" s="826" t="s">
        <v>1642</v>
      </c>
      <c r="C20" s="833"/>
      <c r="D20" s="834"/>
      <c r="E20" s="887">
        <v>0</v>
      </c>
      <c r="F20" s="887"/>
      <c r="G20" s="835"/>
    </row>
    <row r="21" spans="1:7" s="815" customFormat="1" ht="13.8">
      <c r="A21" s="832"/>
      <c r="B21" s="826"/>
      <c r="C21" s="833"/>
      <c r="D21" s="834"/>
      <c r="E21" s="887"/>
      <c r="F21" s="889"/>
      <c r="G21" s="835"/>
    </row>
    <row r="22" spans="1:7" s="815" customFormat="1" ht="13.8">
      <c r="A22" s="832"/>
      <c r="B22" s="826" t="s">
        <v>1643</v>
      </c>
      <c r="C22" s="833"/>
      <c r="D22" s="834"/>
      <c r="E22" s="887">
        <v>0</v>
      </c>
      <c r="F22" s="887"/>
      <c r="G22" s="835"/>
    </row>
    <row r="23" spans="1:7" s="815" customFormat="1" ht="13.8">
      <c r="A23" s="825"/>
      <c r="B23" s="826"/>
      <c r="C23" s="827"/>
      <c r="D23" s="828"/>
      <c r="E23" s="887"/>
      <c r="F23" s="888"/>
      <c r="G23" s="829"/>
    </row>
    <row r="24" spans="1:7" s="815" customFormat="1" ht="13.8">
      <c r="A24" s="832"/>
      <c r="B24" s="826" t="s">
        <v>1644</v>
      </c>
      <c r="C24" s="833"/>
      <c r="D24" s="834"/>
      <c r="E24" s="887">
        <v>0</v>
      </c>
      <c r="F24" s="887"/>
      <c r="G24" s="835"/>
    </row>
    <row r="25" spans="1:7" s="815" customFormat="1" ht="13.8">
      <c r="A25" s="825"/>
      <c r="B25" s="826"/>
      <c r="C25" s="827"/>
      <c r="D25" s="828"/>
      <c r="E25" s="887"/>
      <c r="F25" s="888"/>
      <c r="G25" s="829"/>
    </row>
    <row r="26" spans="1:7" s="815" customFormat="1" ht="13.8">
      <c r="A26" s="832"/>
      <c r="B26" s="826" t="s">
        <v>1645</v>
      </c>
      <c r="C26" s="833"/>
      <c r="D26" s="834"/>
      <c r="E26" s="887">
        <v>0</v>
      </c>
      <c r="F26" s="887"/>
      <c r="G26" s="835"/>
    </row>
    <row r="27" spans="1:7" s="815" customFormat="1" ht="13.8">
      <c r="A27" s="825"/>
      <c r="B27" s="837"/>
      <c r="C27" s="838"/>
      <c r="D27" s="825"/>
      <c r="E27" s="887"/>
      <c r="F27" s="888"/>
      <c r="G27" s="829"/>
    </row>
    <row r="28" spans="1:7" s="815" customFormat="1" ht="13.8">
      <c r="A28" s="832"/>
      <c r="B28" s="1656" t="s">
        <v>1646</v>
      </c>
      <c r="C28" s="1656"/>
      <c r="D28" s="834"/>
      <c r="E28" s="887">
        <v>0</v>
      </c>
      <c r="F28" s="887"/>
      <c r="G28" s="835"/>
    </row>
    <row r="29" spans="1:7" s="815" customFormat="1" ht="13.8">
      <c r="A29" s="825"/>
      <c r="B29" s="839"/>
      <c r="C29" s="840"/>
      <c r="D29" s="841"/>
      <c r="E29" s="890"/>
      <c r="F29" s="891"/>
      <c r="G29" s="844"/>
    </row>
    <row r="30" spans="1:7" s="815" customFormat="1" ht="13.8">
      <c r="A30" s="832"/>
      <c r="B30" s="826" t="s">
        <v>1647</v>
      </c>
      <c r="C30" s="833"/>
      <c r="D30" s="834"/>
      <c r="E30" s="887">
        <v>0</v>
      </c>
      <c r="F30" s="887"/>
      <c r="G30" s="835"/>
    </row>
    <row r="31" spans="1:7" s="815" customFormat="1" ht="13.8">
      <c r="A31" s="825"/>
      <c r="B31" s="839"/>
      <c r="C31" s="840"/>
      <c r="D31" s="841"/>
      <c r="E31" s="891"/>
      <c r="F31" s="891"/>
      <c r="G31" s="844"/>
    </row>
    <row r="32" spans="1:7" s="815" customFormat="1" ht="13.8">
      <c r="A32" s="832"/>
      <c r="B32" s="826" t="s">
        <v>1648</v>
      </c>
      <c r="C32" s="833"/>
      <c r="D32" s="834"/>
      <c r="E32" s="887">
        <v>0</v>
      </c>
      <c r="F32" s="887"/>
      <c r="G32" s="835"/>
    </row>
    <row r="33" spans="1:7" s="815" customFormat="1" ht="13.8">
      <c r="A33" s="832"/>
      <c r="B33" s="826"/>
      <c r="C33" s="833"/>
      <c r="D33" s="834"/>
      <c r="E33" s="887"/>
      <c r="F33" s="889"/>
      <c r="G33" s="835"/>
    </row>
    <row r="34" spans="1:7" s="815" customFormat="1" ht="13.8">
      <c r="A34" s="832"/>
      <c r="B34" s="826" t="s">
        <v>1649</v>
      </c>
      <c r="C34" s="833"/>
      <c r="D34" s="834"/>
      <c r="E34" s="887">
        <v>0</v>
      </c>
      <c r="F34" s="887"/>
      <c r="G34" s="835"/>
    </row>
    <row r="35" spans="1:7" s="815" customFormat="1" ht="13.8">
      <c r="A35" s="832"/>
      <c r="B35" s="826"/>
      <c r="C35" s="833"/>
      <c r="D35" s="834"/>
      <c r="E35" s="887"/>
      <c r="F35" s="889"/>
      <c r="G35" s="835"/>
    </row>
    <row r="36" spans="1:7" s="815" customFormat="1" ht="13.8">
      <c r="A36" s="832"/>
      <c r="B36" s="826" t="s">
        <v>1650</v>
      </c>
      <c r="C36" s="833"/>
      <c r="D36" s="834"/>
      <c r="E36" s="887">
        <v>0</v>
      </c>
      <c r="F36" s="887"/>
      <c r="G36" s="835"/>
    </row>
    <row r="37" spans="1:7" s="815" customFormat="1" ht="13.8">
      <c r="A37" s="832"/>
      <c r="B37" s="826"/>
      <c r="C37" s="833"/>
      <c r="D37" s="834"/>
      <c r="E37" s="887"/>
      <c r="F37" s="889"/>
      <c r="G37" s="835"/>
    </row>
    <row r="38" spans="1:7" s="815" customFormat="1" ht="13.8">
      <c r="A38" s="832"/>
      <c r="B38" s="826" t="s">
        <v>1651</v>
      </c>
      <c r="C38" s="833"/>
      <c r="D38" s="834"/>
      <c r="E38" s="887">
        <v>0</v>
      </c>
      <c r="F38" s="887"/>
      <c r="G38" s="835"/>
    </row>
    <row r="39" spans="1:7" s="815" customFormat="1" ht="13.8">
      <c r="A39" s="832"/>
      <c r="B39" s="826"/>
      <c r="C39" s="833"/>
      <c r="D39" s="834"/>
      <c r="E39" s="887"/>
      <c r="F39" s="889"/>
      <c r="G39" s="835"/>
    </row>
    <row r="40" spans="1:7" s="815" customFormat="1" ht="13.8">
      <c r="A40" s="825"/>
      <c r="B40" s="826" t="s">
        <v>1652</v>
      </c>
      <c r="C40" s="827"/>
      <c r="D40" s="828"/>
      <c r="E40" s="887">
        <v>0</v>
      </c>
      <c r="F40" s="887"/>
      <c r="G40" s="829"/>
    </row>
    <row r="41" spans="1:10" s="815" customFormat="1" ht="13.8">
      <c r="A41" s="825"/>
      <c r="B41" s="826"/>
      <c r="C41" s="827"/>
      <c r="D41" s="828"/>
      <c r="E41" s="887"/>
      <c r="F41" s="888"/>
      <c r="G41" s="829"/>
      <c r="J41" s="886"/>
    </row>
    <row r="42" spans="1:7" s="815" customFormat="1" ht="13.8">
      <c r="A42" s="825"/>
      <c r="B42" s="826" t="s">
        <v>1694</v>
      </c>
      <c r="C42" s="827"/>
      <c r="D42" s="828"/>
      <c r="E42" s="887"/>
      <c r="F42" s="888">
        <v>0</v>
      </c>
      <c r="G42" s="829"/>
    </row>
    <row r="43" spans="1:7" s="815" customFormat="1" ht="14.4" thickBot="1">
      <c r="A43" s="825"/>
      <c r="B43" s="839"/>
      <c r="C43" s="840"/>
      <c r="D43" s="841"/>
      <c r="E43" s="891"/>
      <c r="F43" s="891"/>
      <c r="G43" s="844"/>
    </row>
    <row r="44" spans="1:11" s="815" customFormat="1" ht="15.6">
      <c r="A44" s="825"/>
      <c r="B44" s="845" t="s">
        <v>1653</v>
      </c>
      <c r="C44" s="846"/>
      <c r="D44" s="847"/>
      <c r="E44" s="892">
        <f>E18+E20+E22+E24+E26+E28+E30+E32+E34+E36+E38+E40+F42</f>
        <v>0</v>
      </c>
      <c r="F44" s="893"/>
      <c r="G44" s="848"/>
      <c r="I44" s="849"/>
      <c r="J44" s="1647"/>
      <c r="K44" s="1648"/>
    </row>
    <row r="45" spans="1:11" s="815" customFormat="1" ht="15.6">
      <c r="A45" s="825"/>
      <c r="B45" s="850" t="s">
        <v>1654</v>
      </c>
      <c r="C45" s="851"/>
      <c r="D45" s="852"/>
      <c r="E45" s="1663">
        <f>PRODUCT(E44)*0.21</f>
        <v>0</v>
      </c>
      <c r="F45" s="1664"/>
      <c r="G45" s="848"/>
      <c r="I45" s="853"/>
      <c r="J45" s="854"/>
      <c r="K45" s="855"/>
    </row>
    <row r="46" spans="1:11" s="815" customFormat="1" ht="16.2" thickBot="1">
      <c r="A46" s="825"/>
      <c r="B46" s="856" t="s">
        <v>1655</v>
      </c>
      <c r="C46" s="857"/>
      <c r="D46" s="858"/>
      <c r="E46" s="1665">
        <f>0.21*E44+E44</f>
        <v>0</v>
      </c>
      <c r="F46" s="1666"/>
      <c r="G46" s="859"/>
      <c r="J46" s="1647"/>
      <c r="K46" s="1648"/>
    </row>
    <row r="47" spans="1:10" s="815" customFormat="1" ht="15.6">
      <c r="A47" s="825"/>
      <c r="B47" s="841"/>
      <c r="C47" s="860"/>
      <c r="D47" s="825"/>
      <c r="E47" s="825"/>
      <c r="F47" s="861"/>
      <c r="G47" s="859"/>
      <c r="J47" s="862"/>
    </row>
    <row r="48" spans="1:10" s="815" customFormat="1" ht="15.6">
      <c r="A48" s="825"/>
      <c r="B48" s="841"/>
      <c r="C48" s="860"/>
      <c r="D48" s="825"/>
      <c r="E48" s="825"/>
      <c r="F48" s="861"/>
      <c r="G48" s="859"/>
      <c r="J48" s="862"/>
    </row>
    <row r="49" spans="1:7" s="815" customFormat="1" ht="15.6">
      <c r="A49" s="825"/>
      <c r="B49" s="841"/>
      <c r="C49" s="860"/>
      <c r="D49" s="825"/>
      <c r="E49" s="825"/>
      <c r="F49" s="861"/>
      <c r="G49" s="859"/>
    </row>
    <row r="50" spans="1:7" s="815" customFormat="1" ht="13.8">
      <c r="A50" s="825"/>
      <c r="B50" s="1649" t="s">
        <v>1695</v>
      </c>
      <c r="C50" s="1649"/>
      <c r="D50" s="817"/>
      <c r="E50" s="823"/>
      <c r="F50" s="863"/>
      <c r="G50" s="863"/>
    </row>
    <row r="51" spans="1:7" s="815" customFormat="1" ht="13.8">
      <c r="A51" s="825"/>
      <c r="B51" s="1649" t="s">
        <v>1696</v>
      </c>
      <c r="C51" s="1649"/>
      <c r="D51" s="864"/>
      <c r="E51" s="865"/>
      <c r="F51" s="863"/>
      <c r="G51" s="863"/>
    </row>
    <row r="52" spans="1:10" s="872" customFormat="1" ht="15.6">
      <c r="A52" s="866"/>
      <c r="B52" s="867" t="s">
        <v>1697</v>
      </c>
      <c r="C52" s="868" t="s">
        <v>1698</v>
      </c>
      <c r="D52" s="869"/>
      <c r="E52" s="870"/>
      <c r="F52" s="870"/>
      <c r="G52" s="871"/>
      <c r="I52" s="873"/>
      <c r="J52" s="873"/>
    </row>
    <row r="53" spans="1:7" s="876" customFormat="1" ht="15.6">
      <c r="A53" s="874"/>
      <c r="B53" s="874"/>
      <c r="C53" s="874"/>
      <c r="D53" s="874"/>
      <c r="E53" s="874"/>
      <c r="F53" s="874"/>
      <c r="G53" s="875"/>
    </row>
    <row r="54" spans="1:9" s="811" customFormat="1" ht="12.75">
      <c r="A54" s="806"/>
      <c r="B54" s="882" t="s">
        <v>1662</v>
      </c>
      <c r="C54" s="806"/>
      <c r="D54" s="806"/>
      <c r="E54" s="806"/>
      <c r="F54" s="806"/>
      <c r="G54" s="806"/>
      <c r="I54" s="877"/>
    </row>
    <row r="55" spans="2:9" ht="12.75">
      <c r="B55" s="806" t="s">
        <v>1661</v>
      </c>
      <c r="I55" s="878"/>
    </row>
    <row r="56" spans="1:9" s="811" customFormat="1" ht="12.75">
      <c r="A56" s="806"/>
      <c r="B56" s="806"/>
      <c r="C56" s="806"/>
      <c r="D56" s="806"/>
      <c r="E56" s="806"/>
      <c r="F56" s="806"/>
      <c r="G56" s="806"/>
      <c r="I56" s="877"/>
    </row>
    <row r="57" spans="1:9" s="811" customFormat="1" ht="12.75">
      <c r="A57" s="806"/>
      <c r="B57" s="806"/>
      <c r="C57" s="806"/>
      <c r="D57" s="806"/>
      <c r="E57" s="806"/>
      <c r="F57" s="806"/>
      <c r="G57" s="806"/>
      <c r="I57" s="877"/>
    </row>
    <row r="58" spans="1:9" s="811" customFormat="1" ht="12.75">
      <c r="A58" s="806"/>
      <c r="B58" s="806"/>
      <c r="C58" s="806"/>
      <c r="D58" s="806"/>
      <c r="E58" s="806"/>
      <c r="F58" s="806"/>
      <c r="G58" s="806"/>
      <c r="I58" s="877"/>
    </row>
    <row r="60" spans="1:12" s="879" customFormat="1" ht="12.75">
      <c r="A60" s="806"/>
      <c r="B60" s="806"/>
      <c r="C60" s="806"/>
      <c r="D60" s="806"/>
      <c r="E60" s="806"/>
      <c r="F60" s="806"/>
      <c r="G60" s="806"/>
      <c r="L60" s="809"/>
    </row>
    <row r="73" spans="8:9" ht="12.75">
      <c r="H73" s="878"/>
      <c r="I73" s="878"/>
    </row>
    <row r="75" ht="12.75">
      <c r="H75" s="878"/>
    </row>
    <row r="76" ht="12.75">
      <c r="I76" s="878"/>
    </row>
  </sheetData>
  <mergeCells count="15">
    <mergeCell ref="J44:K44"/>
    <mergeCell ref="B28:C28"/>
    <mergeCell ref="B15:C15"/>
    <mergeCell ref="B16:G16"/>
    <mergeCell ref="B1:C1"/>
    <mergeCell ref="A3:G3"/>
    <mergeCell ref="A4:G4"/>
    <mergeCell ref="C10:G10"/>
    <mergeCell ref="C11:G11"/>
    <mergeCell ref="C13:D13"/>
    <mergeCell ref="E45:F45"/>
    <mergeCell ref="E46:F46"/>
    <mergeCell ref="J46:K46"/>
    <mergeCell ref="B50:C50"/>
    <mergeCell ref="B51:C51"/>
  </mergeCells>
  <printOptions/>
  <pageMargins left="0.6692913385826772" right="0.4330708661417323" top="0.6692913385826772" bottom="0.6692913385826772" header="0.5118110236220472" footer="0.5118110236220472"/>
  <pageSetup fitToHeight="1" fitToWidth="1" horizontalDpi="600" verticalDpi="600" orientation="portrait" paperSize="9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E55"/>
  <sheetViews>
    <sheetView workbookViewId="0" topLeftCell="A1">
      <selection activeCell="O33" sqref="O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50390625" style="0" customWidth="1"/>
    <col min="261" max="261" width="13.50390625" style="0" customWidth="1"/>
    <col min="262" max="262" width="16.50390625" style="0" customWidth="1"/>
    <col min="263" max="263" width="15.37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50390625" style="0" customWidth="1"/>
    <col min="517" max="517" width="13.50390625" style="0" customWidth="1"/>
    <col min="518" max="518" width="16.50390625" style="0" customWidth="1"/>
    <col min="519" max="519" width="15.37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50390625" style="0" customWidth="1"/>
    <col min="773" max="773" width="13.50390625" style="0" customWidth="1"/>
    <col min="774" max="774" width="16.50390625" style="0" customWidth="1"/>
    <col min="775" max="775" width="15.37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50390625" style="0" customWidth="1"/>
    <col min="1029" max="1029" width="13.50390625" style="0" customWidth="1"/>
    <col min="1030" max="1030" width="16.50390625" style="0" customWidth="1"/>
    <col min="1031" max="1031" width="15.37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50390625" style="0" customWidth="1"/>
    <col min="1285" max="1285" width="13.50390625" style="0" customWidth="1"/>
    <col min="1286" max="1286" width="16.50390625" style="0" customWidth="1"/>
    <col min="1287" max="1287" width="15.37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50390625" style="0" customWidth="1"/>
    <col min="1541" max="1541" width="13.50390625" style="0" customWidth="1"/>
    <col min="1542" max="1542" width="16.50390625" style="0" customWidth="1"/>
    <col min="1543" max="1543" width="15.37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50390625" style="0" customWidth="1"/>
    <col min="1797" max="1797" width="13.50390625" style="0" customWidth="1"/>
    <col min="1798" max="1798" width="16.50390625" style="0" customWidth="1"/>
    <col min="1799" max="1799" width="15.37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50390625" style="0" customWidth="1"/>
    <col min="2053" max="2053" width="13.50390625" style="0" customWidth="1"/>
    <col min="2054" max="2054" width="16.50390625" style="0" customWidth="1"/>
    <col min="2055" max="2055" width="15.37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50390625" style="0" customWidth="1"/>
    <col min="2309" max="2309" width="13.50390625" style="0" customWidth="1"/>
    <col min="2310" max="2310" width="16.50390625" style="0" customWidth="1"/>
    <col min="2311" max="2311" width="15.37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50390625" style="0" customWidth="1"/>
    <col min="2565" max="2565" width="13.50390625" style="0" customWidth="1"/>
    <col min="2566" max="2566" width="16.50390625" style="0" customWidth="1"/>
    <col min="2567" max="2567" width="15.37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50390625" style="0" customWidth="1"/>
    <col min="2821" max="2821" width="13.50390625" style="0" customWidth="1"/>
    <col min="2822" max="2822" width="16.50390625" style="0" customWidth="1"/>
    <col min="2823" max="2823" width="15.37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50390625" style="0" customWidth="1"/>
    <col min="3077" max="3077" width="13.50390625" style="0" customWidth="1"/>
    <col min="3078" max="3078" width="16.50390625" style="0" customWidth="1"/>
    <col min="3079" max="3079" width="15.37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50390625" style="0" customWidth="1"/>
    <col min="3333" max="3333" width="13.50390625" style="0" customWidth="1"/>
    <col min="3334" max="3334" width="16.50390625" style="0" customWidth="1"/>
    <col min="3335" max="3335" width="15.37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50390625" style="0" customWidth="1"/>
    <col min="3589" max="3589" width="13.50390625" style="0" customWidth="1"/>
    <col min="3590" max="3590" width="16.50390625" style="0" customWidth="1"/>
    <col min="3591" max="3591" width="15.37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50390625" style="0" customWidth="1"/>
    <col min="3845" max="3845" width="13.50390625" style="0" customWidth="1"/>
    <col min="3846" max="3846" width="16.50390625" style="0" customWidth="1"/>
    <col min="3847" max="3847" width="15.37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50390625" style="0" customWidth="1"/>
    <col min="4101" max="4101" width="13.50390625" style="0" customWidth="1"/>
    <col min="4102" max="4102" width="16.50390625" style="0" customWidth="1"/>
    <col min="4103" max="4103" width="15.37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50390625" style="0" customWidth="1"/>
    <col min="4357" max="4357" width="13.50390625" style="0" customWidth="1"/>
    <col min="4358" max="4358" width="16.50390625" style="0" customWidth="1"/>
    <col min="4359" max="4359" width="15.37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50390625" style="0" customWidth="1"/>
    <col min="4613" max="4613" width="13.50390625" style="0" customWidth="1"/>
    <col min="4614" max="4614" width="16.50390625" style="0" customWidth="1"/>
    <col min="4615" max="4615" width="15.37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50390625" style="0" customWidth="1"/>
    <col min="4869" max="4869" width="13.50390625" style="0" customWidth="1"/>
    <col min="4870" max="4870" width="16.50390625" style="0" customWidth="1"/>
    <col min="4871" max="4871" width="15.37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50390625" style="0" customWidth="1"/>
    <col min="5125" max="5125" width="13.50390625" style="0" customWidth="1"/>
    <col min="5126" max="5126" width="16.50390625" style="0" customWidth="1"/>
    <col min="5127" max="5127" width="15.37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50390625" style="0" customWidth="1"/>
    <col min="5381" max="5381" width="13.50390625" style="0" customWidth="1"/>
    <col min="5382" max="5382" width="16.50390625" style="0" customWidth="1"/>
    <col min="5383" max="5383" width="15.37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50390625" style="0" customWidth="1"/>
    <col min="5637" max="5637" width="13.50390625" style="0" customWidth="1"/>
    <col min="5638" max="5638" width="16.50390625" style="0" customWidth="1"/>
    <col min="5639" max="5639" width="15.37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50390625" style="0" customWidth="1"/>
    <col min="5893" max="5893" width="13.50390625" style="0" customWidth="1"/>
    <col min="5894" max="5894" width="16.50390625" style="0" customWidth="1"/>
    <col min="5895" max="5895" width="15.37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50390625" style="0" customWidth="1"/>
    <col min="6149" max="6149" width="13.50390625" style="0" customWidth="1"/>
    <col min="6150" max="6150" width="16.50390625" style="0" customWidth="1"/>
    <col min="6151" max="6151" width="15.37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50390625" style="0" customWidth="1"/>
    <col min="6405" max="6405" width="13.50390625" style="0" customWidth="1"/>
    <col min="6406" max="6406" width="16.50390625" style="0" customWidth="1"/>
    <col min="6407" max="6407" width="15.37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50390625" style="0" customWidth="1"/>
    <col min="6661" max="6661" width="13.50390625" style="0" customWidth="1"/>
    <col min="6662" max="6662" width="16.50390625" style="0" customWidth="1"/>
    <col min="6663" max="6663" width="15.37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50390625" style="0" customWidth="1"/>
    <col min="6917" max="6917" width="13.50390625" style="0" customWidth="1"/>
    <col min="6918" max="6918" width="16.50390625" style="0" customWidth="1"/>
    <col min="6919" max="6919" width="15.37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50390625" style="0" customWidth="1"/>
    <col min="7173" max="7173" width="13.50390625" style="0" customWidth="1"/>
    <col min="7174" max="7174" width="16.50390625" style="0" customWidth="1"/>
    <col min="7175" max="7175" width="15.37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50390625" style="0" customWidth="1"/>
    <col min="7429" max="7429" width="13.50390625" style="0" customWidth="1"/>
    <col min="7430" max="7430" width="16.50390625" style="0" customWidth="1"/>
    <col min="7431" max="7431" width="15.37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50390625" style="0" customWidth="1"/>
    <col min="7685" max="7685" width="13.50390625" style="0" customWidth="1"/>
    <col min="7686" max="7686" width="16.50390625" style="0" customWidth="1"/>
    <col min="7687" max="7687" width="15.37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50390625" style="0" customWidth="1"/>
    <col min="7941" max="7941" width="13.50390625" style="0" customWidth="1"/>
    <col min="7942" max="7942" width="16.50390625" style="0" customWidth="1"/>
    <col min="7943" max="7943" width="15.37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50390625" style="0" customWidth="1"/>
    <col min="8197" max="8197" width="13.50390625" style="0" customWidth="1"/>
    <col min="8198" max="8198" width="16.50390625" style="0" customWidth="1"/>
    <col min="8199" max="8199" width="15.37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50390625" style="0" customWidth="1"/>
    <col min="8453" max="8453" width="13.50390625" style="0" customWidth="1"/>
    <col min="8454" max="8454" width="16.50390625" style="0" customWidth="1"/>
    <col min="8455" max="8455" width="15.37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50390625" style="0" customWidth="1"/>
    <col min="8709" max="8709" width="13.50390625" style="0" customWidth="1"/>
    <col min="8710" max="8710" width="16.50390625" style="0" customWidth="1"/>
    <col min="8711" max="8711" width="15.37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50390625" style="0" customWidth="1"/>
    <col min="8965" max="8965" width="13.50390625" style="0" customWidth="1"/>
    <col min="8966" max="8966" width="16.50390625" style="0" customWidth="1"/>
    <col min="8967" max="8967" width="15.37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50390625" style="0" customWidth="1"/>
    <col min="9221" max="9221" width="13.50390625" style="0" customWidth="1"/>
    <col min="9222" max="9222" width="16.50390625" style="0" customWidth="1"/>
    <col min="9223" max="9223" width="15.37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50390625" style="0" customWidth="1"/>
    <col min="9477" max="9477" width="13.50390625" style="0" customWidth="1"/>
    <col min="9478" max="9478" width="16.50390625" style="0" customWidth="1"/>
    <col min="9479" max="9479" width="15.37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50390625" style="0" customWidth="1"/>
    <col min="9733" max="9733" width="13.50390625" style="0" customWidth="1"/>
    <col min="9734" max="9734" width="16.50390625" style="0" customWidth="1"/>
    <col min="9735" max="9735" width="15.37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50390625" style="0" customWidth="1"/>
    <col min="9989" max="9989" width="13.50390625" style="0" customWidth="1"/>
    <col min="9990" max="9990" width="16.50390625" style="0" customWidth="1"/>
    <col min="9991" max="9991" width="15.37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50390625" style="0" customWidth="1"/>
    <col min="10245" max="10245" width="13.50390625" style="0" customWidth="1"/>
    <col min="10246" max="10246" width="16.50390625" style="0" customWidth="1"/>
    <col min="10247" max="10247" width="15.37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50390625" style="0" customWidth="1"/>
    <col min="10501" max="10501" width="13.50390625" style="0" customWidth="1"/>
    <col min="10502" max="10502" width="16.50390625" style="0" customWidth="1"/>
    <col min="10503" max="10503" width="15.37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50390625" style="0" customWidth="1"/>
    <col min="10757" max="10757" width="13.50390625" style="0" customWidth="1"/>
    <col min="10758" max="10758" width="16.50390625" style="0" customWidth="1"/>
    <col min="10759" max="10759" width="15.37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50390625" style="0" customWidth="1"/>
    <col min="11013" max="11013" width="13.50390625" style="0" customWidth="1"/>
    <col min="11014" max="11014" width="16.50390625" style="0" customWidth="1"/>
    <col min="11015" max="11015" width="15.37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50390625" style="0" customWidth="1"/>
    <col min="11269" max="11269" width="13.50390625" style="0" customWidth="1"/>
    <col min="11270" max="11270" width="16.50390625" style="0" customWidth="1"/>
    <col min="11271" max="11271" width="15.37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50390625" style="0" customWidth="1"/>
    <col min="11525" max="11525" width="13.50390625" style="0" customWidth="1"/>
    <col min="11526" max="11526" width="16.50390625" style="0" customWidth="1"/>
    <col min="11527" max="11527" width="15.37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50390625" style="0" customWidth="1"/>
    <col min="11781" max="11781" width="13.50390625" style="0" customWidth="1"/>
    <col min="11782" max="11782" width="16.50390625" style="0" customWidth="1"/>
    <col min="11783" max="11783" width="15.37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50390625" style="0" customWidth="1"/>
    <col min="12037" max="12037" width="13.50390625" style="0" customWidth="1"/>
    <col min="12038" max="12038" width="16.50390625" style="0" customWidth="1"/>
    <col min="12039" max="12039" width="15.37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50390625" style="0" customWidth="1"/>
    <col min="12293" max="12293" width="13.50390625" style="0" customWidth="1"/>
    <col min="12294" max="12294" width="16.50390625" style="0" customWidth="1"/>
    <col min="12295" max="12295" width="15.37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50390625" style="0" customWidth="1"/>
    <col min="12549" max="12549" width="13.50390625" style="0" customWidth="1"/>
    <col min="12550" max="12550" width="16.50390625" style="0" customWidth="1"/>
    <col min="12551" max="12551" width="15.37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50390625" style="0" customWidth="1"/>
    <col min="12805" max="12805" width="13.50390625" style="0" customWidth="1"/>
    <col min="12806" max="12806" width="16.50390625" style="0" customWidth="1"/>
    <col min="12807" max="12807" width="15.37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50390625" style="0" customWidth="1"/>
    <col min="13061" max="13061" width="13.50390625" style="0" customWidth="1"/>
    <col min="13062" max="13062" width="16.50390625" style="0" customWidth="1"/>
    <col min="13063" max="13063" width="15.37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50390625" style="0" customWidth="1"/>
    <col min="13317" max="13317" width="13.50390625" style="0" customWidth="1"/>
    <col min="13318" max="13318" width="16.50390625" style="0" customWidth="1"/>
    <col min="13319" max="13319" width="15.37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50390625" style="0" customWidth="1"/>
    <col min="13573" max="13573" width="13.50390625" style="0" customWidth="1"/>
    <col min="13574" max="13574" width="16.50390625" style="0" customWidth="1"/>
    <col min="13575" max="13575" width="15.37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50390625" style="0" customWidth="1"/>
    <col min="13829" max="13829" width="13.50390625" style="0" customWidth="1"/>
    <col min="13830" max="13830" width="16.50390625" style="0" customWidth="1"/>
    <col min="13831" max="13831" width="15.37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50390625" style="0" customWidth="1"/>
    <col min="14085" max="14085" width="13.50390625" style="0" customWidth="1"/>
    <col min="14086" max="14086" width="16.50390625" style="0" customWidth="1"/>
    <col min="14087" max="14087" width="15.37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50390625" style="0" customWidth="1"/>
    <col min="14341" max="14341" width="13.50390625" style="0" customWidth="1"/>
    <col min="14342" max="14342" width="16.50390625" style="0" customWidth="1"/>
    <col min="14343" max="14343" width="15.37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50390625" style="0" customWidth="1"/>
    <col min="14597" max="14597" width="13.50390625" style="0" customWidth="1"/>
    <col min="14598" max="14598" width="16.50390625" style="0" customWidth="1"/>
    <col min="14599" max="14599" width="15.37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50390625" style="0" customWidth="1"/>
    <col min="14853" max="14853" width="13.50390625" style="0" customWidth="1"/>
    <col min="14854" max="14854" width="16.50390625" style="0" customWidth="1"/>
    <col min="14855" max="14855" width="15.37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50390625" style="0" customWidth="1"/>
    <col min="15109" max="15109" width="13.50390625" style="0" customWidth="1"/>
    <col min="15110" max="15110" width="16.50390625" style="0" customWidth="1"/>
    <col min="15111" max="15111" width="15.37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50390625" style="0" customWidth="1"/>
    <col min="15365" max="15365" width="13.50390625" style="0" customWidth="1"/>
    <col min="15366" max="15366" width="16.50390625" style="0" customWidth="1"/>
    <col min="15367" max="15367" width="15.37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50390625" style="0" customWidth="1"/>
    <col min="15621" max="15621" width="13.50390625" style="0" customWidth="1"/>
    <col min="15622" max="15622" width="16.50390625" style="0" customWidth="1"/>
    <col min="15623" max="15623" width="15.37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50390625" style="0" customWidth="1"/>
    <col min="15877" max="15877" width="13.50390625" style="0" customWidth="1"/>
    <col min="15878" max="15878" width="16.50390625" style="0" customWidth="1"/>
    <col min="15879" max="15879" width="15.37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50390625" style="0" customWidth="1"/>
    <col min="16133" max="16133" width="13.50390625" style="0" customWidth="1"/>
    <col min="16134" max="16134" width="16.50390625" style="0" customWidth="1"/>
    <col min="16135" max="16135" width="15.375" style="0" customWidth="1"/>
  </cols>
  <sheetData>
    <row r="1" spans="1:7" ht="24.75" customHeight="1" thickBot="1">
      <c r="A1" s="189" t="s">
        <v>126</v>
      </c>
      <c r="B1" s="188"/>
      <c r="C1" s="188"/>
      <c r="D1" s="188"/>
      <c r="E1" s="188"/>
      <c r="F1" s="188"/>
      <c r="G1" s="188"/>
    </row>
    <row r="2" spans="1:7" ht="12.75" customHeight="1">
      <c r="A2" s="187" t="s">
        <v>125</v>
      </c>
      <c r="B2" s="186"/>
      <c r="C2" s="185">
        <f>'z06 2R'!H1</f>
        <v>0</v>
      </c>
      <c r="D2" s="185">
        <f>'z06 2R'!G2</f>
        <v>0</v>
      </c>
      <c r="E2" s="184"/>
      <c r="F2" s="183" t="s">
        <v>124</v>
      </c>
      <c r="G2" s="182"/>
    </row>
    <row r="3" spans="1:7" ht="3" customHeight="1" hidden="1">
      <c r="A3" s="133"/>
      <c r="B3" s="151"/>
      <c r="C3" s="174"/>
      <c r="D3" s="174"/>
      <c r="E3" s="173"/>
      <c r="F3" s="155"/>
      <c r="G3" s="176"/>
    </row>
    <row r="4" spans="1:7" ht="12" customHeight="1">
      <c r="A4" s="175" t="s">
        <v>123</v>
      </c>
      <c r="B4" s="151"/>
      <c r="C4" s="174" t="s">
        <v>280</v>
      </c>
      <c r="D4" s="174"/>
      <c r="E4" s="173"/>
      <c r="F4" s="155" t="s">
        <v>122</v>
      </c>
      <c r="G4" s="181"/>
    </row>
    <row r="5" spans="1:7" ht="12.9" customHeight="1">
      <c r="A5" s="180" t="s">
        <v>34</v>
      </c>
      <c r="B5" s="177"/>
      <c r="C5" s="179" t="s">
        <v>1663</v>
      </c>
      <c r="D5" s="178"/>
      <c r="E5" s="177"/>
      <c r="F5" s="155" t="s">
        <v>121</v>
      </c>
      <c r="G5" s="176"/>
    </row>
    <row r="6" spans="1:15" ht="12.9" customHeight="1">
      <c r="A6" s="175" t="s">
        <v>120</v>
      </c>
      <c r="B6" s="151"/>
      <c r="C6" s="174" t="s">
        <v>281</v>
      </c>
      <c r="D6" s="174"/>
      <c r="E6" s="173"/>
      <c r="F6" s="172" t="s">
        <v>119</v>
      </c>
      <c r="G6" s="165">
        <v>0</v>
      </c>
      <c r="O6" s="253"/>
    </row>
    <row r="7" spans="1:7" ht="12.9" customHeight="1">
      <c r="A7" s="170" t="s">
        <v>12</v>
      </c>
      <c r="B7" s="169"/>
      <c r="C7" s="168" t="s">
        <v>13</v>
      </c>
      <c r="D7" s="167"/>
      <c r="E7" s="167"/>
      <c r="F7" s="166" t="s">
        <v>118</v>
      </c>
      <c r="G7" s="165">
        <f>IF(aaaaqwet=0,,ROUND((F30+F32)/aaaaqwet,1))</f>
        <v>0</v>
      </c>
    </row>
    <row r="8" spans="1:9" ht="12.75">
      <c r="A8" s="156" t="s">
        <v>117</v>
      </c>
      <c r="B8" s="155"/>
      <c r="C8" s="1570"/>
      <c r="D8" s="1570"/>
      <c r="E8" s="1571"/>
      <c r="F8" s="164" t="s">
        <v>116</v>
      </c>
      <c r="G8" s="163"/>
      <c r="H8" s="254"/>
      <c r="I8" s="255"/>
    </row>
    <row r="9" spans="1:8" ht="12.75">
      <c r="A9" s="156" t="s">
        <v>115</v>
      </c>
      <c r="B9" s="155"/>
      <c r="C9" s="1570">
        <f>Projektant</f>
        <v>0</v>
      </c>
      <c r="D9" s="1570"/>
      <c r="E9" s="1571"/>
      <c r="F9" s="155"/>
      <c r="G9" s="160"/>
      <c r="H9" s="256"/>
    </row>
    <row r="10" spans="1:8" ht="12.75">
      <c r="A10" s="156" t="s">
        <v>114</v>
      </c>
      <c r="B10" s="155"/>
      <c r="C10" s="1570"/>
      <c r="D10" s="1570"/>
      <c r="E10" s="1570"/>
      <c r="F10" s="159"/>
      <c r="G10" s="158"/>
      <c r="H10" s="257"/>
    </row>
    <row r="11" spans="1:57" ht="13.5" customHeight="1">
      <c r="A11" s="156" t="s">
        <v>113</v>
      </c>
      <c r="B11" s="155"/>
      <c r="C11" s="1570"/>
      <c r="D11" s="1570"/>
      <c r="E11" s="1570"/>
      <c r="F11" s="154" t="s">
        <v>112</v>
      </c>
      <c r="G11" s="153"/>
      <c r="H11" s="256"/>
      <c r="BA11" s="258"/>
      <c r="BB11" s="258"/>
      <c r="BC11" s="258"/>
      <c r="BD11" s="258"/>
      <c r="BE11" s="258"/>
    </row>
    <row r="12" spans="1:8" ht="12.75" customHeight="1">
      <c r="A12" s="152" t="s">
        <v>111</v>
      </c>
      <c r="B12" s="151"/>
      <c r="C12" s="1572"/>
      <c r="D12" s="1572"/>
      <c r="E12" s="1572"/>
      <c r="F12" s="150" t="s">
        <v>110</v>
      </c>
      <c r="G12" s="149"/>
      <c r="H12" s="256"/>
    </row>
    <row r="13" spans="1:8" ht="28.5" customHeight="1" thickBot="1">
      <c r="A13" s="148" t="s">
        <v>109</v>
      </c>
      <c r="B13" s="147"/>
      <c r="C13" s="147"/>
      <c r="D13" s="147"/>
      <c r="E13" s="146"/>
      <c r="F13" s="146"/>
      <c r="G13" s="145"/>
      <c r="H13" s="256"/>
    </row>
    <row r="14" spans="1:7" ht="17.25" customHeight="1" thickBot="1">
      <c r="A14" s="144" t="s">
        <v>108</v>
      </c>
      <c r="B14" s="143"/>
      <c r="C14" s="140"/>
      <c r="D14" s="142" t="s">
        <v>107</v>
      </c>
      <c r="E14" s="141"/>
      <c r="F14" s="141"/>
      <c r="G14" s="140"/>
    </row>
    <row r="15" spans="1:7" ht="15.9" customHeight="1">
      <c r="A15" s="136"/>
      <c r="B15" s="62" t="s">
        <v>106</v>
      </c>
      <c r="C15" s="127">
        <f>'z06 2R'!E10</f>
        <v>0</v>
      </c>
      <c r="D15" s="139" t="str">
        <f>'z06 2R'!A15</f>
        <v>Ztížené výrobní podmínky</v>
      </c>
      <c r="E15" s="138"/>
      <c r="F15" s="137"/>
      <c r="G15" s="127">
        <f>'z06 2R'!I15</f>
        <v>0</v>
      </c>
    </row>
    <row r="16" spans="1:7" ht="15.9" customHeight="1">
      <c r="A16" s="136" t="s">
        <v>105</v>
      </c>
      <c r="B16" s="62" t="s">
        <v>104</v>
      </c>
      <c r="C16" s="127">
        <f>'z06 2R'!F10</f>
        <v>0</v>
      </c>
      <c r="D16" s="133" t="str">
        <f>'z06 2R'!A16</f>
        <v>Oborová přirážka</v>
      </c>
      <c r="E16" s="132"/>
      <c r="F16" s="108"/>
      <c r="G16" s="127">
        <f>'z06 2R'!I16</f>
        <v>0</v>
      </c>
    </row>
    <row r="17" spans="1:7" ht="15.9" customHeight="1">
      <c r="A17" s="136" t="s">
        <v>103</v>
      </c>
      <c r="B17" s="62" t="s">
        <v>102</v>
      </c>
      <c r="C17" s="127">
        <f>Mont</f>
        <v>0</v>
      </c>
      <c r="D17" s="133" t="str">
        <f>'z06 2R'!A17</f>
        <v>Přesun stavebních kapacit</v>
      </c>
      <c r="E17" s="132"/>
      <c r="F17" s="108"/>
      <c r="G17" s="127">
        <f>'z06 2R'!I17</f>
        <v>0</v>
      </c>
    </row>
    <row r="18" spans="1:7" ht="15.9" customHeight="1">
      <c r="A18" s="135" t="s">
        <v>101</v>
      </c>
      <c r="B18" s="134" t="s">
        <v>100</v>
      </c>
      <c r="C18" s="127">
        <f>Dodavka</f>
        <v>0</v>
      </c>
      <c r="D18" s="133" t="str">
        <f>'z06 2R'!A18</f>
        <v>Mimostaveništní doprava</v>
      </c>
      <c r="E18" s="132"/>
      <c r="F18" s="108"/>
      <c r="G18" s="127">
        <f>'z06 2R'!I18</f>
        <v>0</v>
      </c>
    </row>
    <row r="19" spans="1:7" ht="15.9" customHeight="1">
      <c r="A19" s="63" t="s">
        <v>99</v>
      </c>
      <c r="B19" s="62"/>
      <c r="C19" s="127">
        <f>SUM(C15:C18)</f>
        <v>0</v>
      </c>
      <c r="D19" s="133" t="str">
        <f>'z06 2R'!A19</f>
        <v>Zařízení staveniště</v>
      </c>
      <c r="E19" s="132"/>
      <c r="F19" s="108"/>
      <c r="G19" s="127">
        <f>'z06 2R'!I19</f>
        <v>0</v>
      </c>
    </row>
    <row r="20" spans="1:7" ht="15.9" customHeight="1">
      <c r="A20" s="63"/>
      <c r="B20" s="62"/>
      <c r="C20" s="127"/>
      <c r="D20" s="133" t="str">
        <f>'z06 2R'!A20</f>
        <v>Provoz investora</v>
      </c>
      <c r="E20" s="132"/>
      <c r="F20" s="108"/>
      <c r="G20" s="127">
        <f>'z06 2R'!I20</f>
        <v>0</v>
      </c>
    </row>
    <row r="21" spans="1:7" ht="15.9" customHeight="1">
      <c r="A21" s="63" t="s">
        <v>70</v>
      </c>
      <c r="B21" s="62"/>
      <c r="C21" s="127">
        <f>HZS</f>
        <v>0</v>
      </c>
      <c r="D21" s="133" t="str">
        <f>'z06 2R'!A21</f>
        <v>Kompletační činnost (IČD)</v>
      </c>
      <c r="E21" s="132"/>
      <c r="F21" s="108"/>
      <c r="G21" s="127">
        <f>'z06 2R'!I21</f>
        <v>0</v>
      </c>
    </row>
    <row r="22" spans="1:7" ht="15.9" customHeight="1">
      <c r="A22" s="118" t="s">
        <v>98</v>
      </c>
      <c r="B22" s="74"/>
      <c r="C22" s="127">
        <f>C19+C21</f>
        <v>0</v>
      </c>
      <c r="D22" s="133" t="s">
        <v>97</v>
      </c>
      <c r="E22" s="132"/>
      <c r="F22" s="108"/>
      <c r="G22" s="127"/>
    </row>
    <row r="23" spans="1:7" ht="15.9" customHeight="1" thickBot="1">
      <c r="A23" s="1568" t="s">
        <v>96</v>
      </c>
      <c r="B23" s="1569"/>
      <c r="C23" s="131">
        <f>C22+G23</f>
        <v>0</v>
      </c>
      <c r="D23" s="130" t="s">
        <v>95</v>
      </c>
      <c r="E23" s="129"/>
      <c r="F23" s="128"/>
      <c r="G23" s="127">
        <f>G19+G21</f>
        <v>0</v>
      </c>
    </row>
    <row r="24" spans="1:7" ht="12.75">
      <c r="A24" s="71" t="s">
        <v>94</v>
      </c>
      <c r="B24" s="70"/>
      <c r="C24" s="126"/>
      <c r="D24" s="70" t="s">
        <v>93</v>
      </c>
      <c r="E24" s="70"/>
      <c r="F24" s="125" t="s">
        <v>92</v>
      </c>
      <c r="G24" s="124"/>
    </row>
    <row r="25" spans="1:7" ht="12.75">
      <c r="A25" s="118" t="s">
        <v>91</v>
      </c>
      <c r="B25" s="74"/>
      <c r="C25" s="120"/>
      <c r="D25" s="74" t="s">
        <v>91</v>
      </c>
      <c r="E25" s="1"/>
      <c r="F25" s="121" t="s">
        <v>91</v>
      </c>
      <c r="G25" s="115"/>
    </row>
    <row r="26" spans="1:7" ht="37.5" customHeight="1">
      <c r="A26" s="118" t="s">
        <v>90</v>
      </c>
      <c r="B26" s="123"/>
      <c r="C26" s="120"/>
      <c r="D26" s="74" t="s">
        <v>90</v>
      </c>
      <c r="E26" s="1"/>
      <c r="F26" s="121" t="s">
        <v>90</v>
      </c>
      <c r="G26" s="115"/>
    </row>
    <row r="27" spans="1:7" ht="12.75">
      <c r="A27" s="118"/>
      <c r="B27" s="122"/>
      <c r="C27" s="120"/>
      <c r="D27" s="74"/>
      <c r="E27" s="1"/>
      <c r="F27" s="121"/>
      <c r="G27" s="115"/>
    </row>
    <row r="28" spans="1:7" ht="12.75">
      <c r="A28" s="118" t="s">
        <v>89</v>
      </c>
      <c r="B28" s="74"/>
      <c r="C28" s="120"/>
      <c r="D28" s="121" t="s">
        <v>88</v>
      </c>
      <c r="E28" s="120"/>
      <c r="F28" s="119" t="s">
        <v>88</v>
      </c>
      <c r="G28" s="115"/>
    </row>
    <row r="29" spans="1:7" ht="69" customHeight="1">
      <c r="A29" s="118"/>
      <c r="B29" s="74"/>
      <c r="C29" s="116"/>
      <c r="D29" s="117"/>
      <c r="E29" s="116"/>
      <c r="F29" s="74"/>
      <c r="G29" s="115"/>
    </row>
    <row r="30" spans="1:7" ht="12.75">
      <c r="A30" s="112" t="s">
        <v>8</v>
      </c>
      <c r="B30" s="109"/>
      <c r="C30" s="114">
        <v>21</v>
      </c>
      <c r="D30" s="109" t="s">
        <v>87</v>
      </c>
      <c r="E30" s="113"/>
      <c r="F30" s="1574">
        <f>C23-F32</f>
        <v>0</v>
      </c>
      <c r="G30" s="1575"/>
    </row>
    <row r="31" spans="1:7" ht="12.75">
      <c r="A31" s="112" t="s">
        <v>86</v>
      </c>
      <c r="B31" s="109"/>
      <c r="C31" s="114">
        <f>SazbaDPH1</f>
        <v>21</v>
      </c>
      <c r="D31" s="109" t="s">
        <v>85</v>
      </c>
      <c r="E31" s="113"/>
      <c r="F31" s="1574">
        <f>ROUND(PRODUCT(F30,C31/100),0)</f>
        <v>0</v>
      </c>
      <c r="G31" s="1575"/>
    </row>
    <row r="32" spans="1:7" ht="12.75">
      <c r="A32" s="112" t="s">
        <v>8</v>
      </c>
      <c r="B32" s="109"/>
      <c r="C32" s="114">
        <v>0</v>
      </c>
      <c r="D32" s="109" t="s">
        <v>85</v>
      </c>
      <c r="E32" s="113"/>
      <c r="F32" s="1574">
        <v>0</v>
      </c>
      <c r="G32" s="1575"/>
    </row>
    <row r="33" spans="1:7" ht="12.75">
      <c r="A33" s="112" t="s">
        <v>86</v>
      </c>
      <c r="B33" s="111"/>
      <c r="C33" s="110">
        <f>SazbaDPH2</f>
        <v>0</v>
      </c>
      <c r="D33" s="109" t="s">
        <v>85</v>
      </c>
      <c r="E33" s="108"/>
      <c r="F33" s="1574">
        <f>ROUND(PRODUCT(F32,C33/100),0)</f>
        <v>0</v>
      </c>
      <c r="G33" s="1575"/>
    </row>
    <row r="34" spans="1:7" s="259" customFormat="1" ht="19.5" customHeight="1" thickBot="1">
      <c r="A34" s="107" t="s">
        <v>84</v>
      </c>
      <c r="B34" s="106"/>
      <c r="C34" s="106"/>
      <c r="D34" s="106"/>
      <c r="E34" s="105"/>
      <c r="F34" s="1576">
        <f>ROUND(SUM(F30:F33),0)</f>
        <v>0</v>
      </c>
      <c r="G34" s="1577"/>
    </row>
    <row r="36" spans="1:8" ht="12.75">
      <c r="A36" s="260" t="s">
        <v>83</v>
      </c>
      <c r="B36" s="260"/>
      <c r="C36" s="1304" t="s">
        <v>2731</v>
      </c>
      <c r="D36" s="260"/>
      <c r="E36" s="260"/>
      <c r="F36" s="260"/>
      <c r="G36" s="260"/>
      <c r="H36" t="s">
        <v>1</v>
      </c>
    </row>
    <row r="37" spans="1:8" ht="14.25" customHeight="1">
      <c r="A37" s="260"/>
      <c r="B37" s="1599"/>
      <c r="C37" s="1599"/>
      <c r="D37" s="1599"/>
      <c r="E37" s="1599"/>
      <c r="F37" s="1599"/>
      <c r="G37" s="1599"/>
      <c r="H37" t="s">
        <v>1</v>
      </c>
    </row>
    <row r="38" spans="1:8" ht="12.75" customHeight="1">
      <c r="A38" s="261"/>
      <c r="B38" s="1599"/>
      <c r="C38" s="1599"/>
      <c r="D38" s="1599"/>
      <c r="E38" s="1599"/>
      <c r="F38" s="1599"/>
      <c r="G38" s="1599"/>
      <c r="H38" t="s">
        <v>1</v>
      </c>
    </row>
    <row r="39" spans="1:8" ht="12.75">
      <c r="A39" s="261"/>
      <c r="B39" s="1599"/>
      <c r="C39" s="1599"/>
      <c r="D39" s="1599"/>
      <c r="E39" s="1599"/>
      <c r="F39" s="1599"/>
      <c r="G39" s="1599"/>
      <c r="H39" t="s">
        <v>1</v>
      </c>
    </row>
    <row r="40" spans="1:8" ht="12.75">
      <c r="A40" s="261"/>
      <c r="B40" s="1599"/>
      <c r="C40" s="1599"/>
      <c r="D40" s="1599"/>
      <c r="E40" s="1599"/>
      <c r="F40" s="1599"/>
      <c r="G40" s="1599"/>
      <c r="H40" t="s">
        <v>1</v>
      </c>
    </row>
    <row r="41" spans="1:8" ht="12.75">
      <c r="A41" s="261"/>
      <c r="B41" s="1599"/>
      <c r="C41" s="1599"/>
      <c r="D41" s="1599"/>
      <c r="E41" s="1599"/>
      <c r="F41" s="1599"/>
      <c r="G41" s="1599"/>
      <c r="H41" t="s">
        <v>1</v>
      </c>
    </row>
    <row r="42" spans="1:8" ht="12.75">
      <c r="A42" s="261"/>
      <c r="B42" s="1599"/>
      <c r="C42" s="1599"/>
      <c r="D42" s="1599"/>
      <c r="E42" s="1599"/>
      <c r="F42" s="1599"/>
      <c r="G42" s="1599"/>
      <c r="H42" t="s">
        <v>1</v>
      </c>
    </row>
    <row r="43" spans="1:8" ht="12.75">
      <c r="A43" s="261"/>
      <c r="B43" s="1599"/>
      <c r="C43" s="1599"/>
      <c r="D43" s="1599"/>
      <c r="E43" s="1599"/>
      <c r="F43" s="1599"/>
      <c r="G43" s="1599"/>
      <c r="H43" t="s">
        <v>1</v>
      </c>
    </row>
    <row r="44" spans="1:8" ht="12.75">
      <c r="A44" s="261"/>
      <c r="B44" s="1599"/>
      <c r="C44" s="1599"/>
      <c r="D44" s="1599"/>
      <c r="E44" s="1599"/>
      <c r="F44" s="1599"/>
      <c r="G44" s="1599"/>
      <c r="H44" t="s">
        <v>1</v>
      </c>
    </row>
    <row r="45" spans="1:8" ht="0.75" customHeight="1">
      <c r="A45" s="261"/>
      <c r="B45" s="1599"/>
      <c r="C45" s="1599"/>
      <c r="D45" s="1599"/>
      <c r="E45" s="1599"/>
      <c r="F45" s="1599"/>
      <c r="G45" s="1599"/>
      <c r="H45" t="s">
        <v>1</v>
      </c>
    </row>
    <row r="46" spans="2:7" ht="12.75">
      <c r="B46" s="1600"/>
      <c r="C46" s="1600"/>
      <c r="D46" s="1600"/>
      <c r="E46" s="1600"/>
      <c r="F46" s="1600"/>
      <c r="G46" s="1600"/>
    </row>
    <row r="47" spans="2:7" ht="12.75">
      <c r="B47" s="1600"/>
      <c r="C47" s="1600"/>
      <c r="D47" s="1600"/>
      <c r="E47" s="1600"/>
      <c r="F47" s="1600"/>
      <c r="G47" s="1600"/>
    </row>
    <row r="48" spans="2:7" ht="12.75">
      <c r="B48" s="1600"/>
      <c r="C48" s="1600"/>
      <c r="D48" s="1600"/>
      <c r="E48" s="1600"/>
      <c r="F48" s="1600"/>
      <c r="G48" s="1600"/>
    </row>
    <row r="49" spans="2:7" ht="12.75">
      <c r="B49" s="1600"/>
      <c r="C49" s="1600"/>
      <c r="D49" s="1600"/>
      <c r="E49" s="1600"/>
      <c r="F49" s="1600"/>
      <c r="G49" s="1600"/>
    </row>
    <row r="50" spans="2:7" ht="12.75">
      <c r="B50" s="1600"/>
      <c r="C50" s="1600"/>
      <c r="D50" s="1600"/>
      <c r="E50" s="1600"/>
      <c r="F50" s="1600"/>
      <c r="G50" s="1600"/>
    </row>
    <row r="51" spans="2:7" ht="12.75">
      <c r="B51" s="1600"/>
      <c r="C51" s="1600"/>
      <c r="D51" s="1600"/>
      <c r="E51" s="1600"/>
      <c r="F51" s="1600"/>
      <c r="G51" s="1600"/>
    </row>
    <row r="52" spans="2:7" ht="12.75">
      <c r="B52" s="1600"/>
      <c r="C52" s="1600"/>
      <c r="D52" s="1600"/>
      <c r="E52" s="1600"/>
      <c r="F52" s="1600"/>
      <c r="G52" s="1600"/>
    </row>
    <row r="53" spans="2:7" ht="12.75">
      <c r="B53" s="1600"/>
      <c r="C53" s="1600"/>
      <c r="D53" s="1600"/>
      <c r="E53" s="1600"/>
      <c r="F53" s="1600"/>
      <c r="G53" s="1600"/>
    </row>
    <row r="54" spans="2:7" ht="12.75">
      <c r="B54" s="1600"/>
      <c r="C54" s="1600"/>
      <c r="D54" s="1600"/>
      <c r="E54" s="1600"/>
      <c r="F54" s="1600"/>
      <c r="G54" s="1600"/>
    </row>
    <row r="55" spans="2:7" ht="12.75">
      <c r="B55" s="1600"/>
      <c r="C55" s="1600"/>
      <c r="D55" s="1600"/>
      <c r="E55" s="1600"/>
      <c r="F55" s="1600"/>
      <c r="G55" s="1600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E74"/>
  <sheetViews>
    <sheetView workbookViewId="0" topLeftCell="A1">
      <selection activeCell="F34" sqref="F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  <col min="257" max="257" width="5.875" style="0" customWidth="1"/>
    <col min="258" max="258" width="6.125" style="0" customWidth="1"/>
    <col min="259" max="259" width="11.50390625" style="0" customWidth="1"/>
    <col min="260" max="260" width="15.875" style="0" customWidth="1"/>
    <col min="261" max="261" width="11.37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625" style="0" customWidth="1"/>
    <col min="513" max="513" width="5.875" style="0" customWidth="1"/>
    <col min="514" max="514" width="6.125" style="0" customWidth="1"/>
    <col min="515" max="515" width="11.50390625" style="0" customWidth="1"/>
    <col min="516" max="516" width="15.875" style="0" customWidth="1"/>
    <col min="517" max="517" width="11.37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625" style="0" customWidth="1"/>
    <col min="769" max="769" width="5.875" style="0" customWidth="1"/>
    <col min="770" max="770" width="6.125" style="0" customWidth="1"/>
    <col min="771" max="771" width="11.50390625" style="0" customWidth="1"/>
    <col min="772" max="772" width="15.875" style="0" customWidth="1"/>
    <col min="773" max="773" width="11.37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625" style="0" customWidth="1"/>
    <col min="1025" max="1025" width="5.875" style="0" customWidth="1"/>
    <col min="1026" max="1026" width="6.125" style="0" customWidth="1"/>
    <col min="1027" max="1027" width="11.50390625" style="0" customWidth="1"/>
    <col min="1028" max="1028" width="15.875" style="0" customWidth="1"/>
    <col min="1029" max="1029" width="11.37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625" style="0" customWidth="1"/>
    <col min="1281" max="1281" width="5.875" style="0" customWidth="1"/>
    <col min="1282" max="1282" width="6.125" style="0" customWidth="1"/>
    <col min="1283" max="1283" width="11.50390625" style="0" customWidth="1"/>
    <col min="1284" max="1284" width="15.875" style="0" customWidth="1"/>
    <col min="1285" max="1285" width="11.37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625" style="0" customWidth="1"/>
    <col min="1537" max="1537" width="5.875" style="0" customWidth="1"/>
    <col min="1538" max="1538" width="6.125" style="0" customWidth="1"/>
    <col min="1539" max="1539" width="11.50390625" style="0" customWidth="1"/>
    <col min="1540" max="1540" width="15.875" style="0" customWidth="1"/>
    <col min="1541" max="1541" width="11.37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625" style="0" customWidth="1"/>
    <col min="1793" max="1793" width="5.875" style="0" customWidth="1"/>
    <col min="1794" max="1794" width="6.125" style="0" customWidth="1"/>
    <col min="1795" max="1795" width="11.50390625" style="0" customWidth="1"/>
    <col min="1796" max="1796" width="15.875" style="0" customWidth="1"/>
    <col min="1797" max="1797" width="11.37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625" style="0" customWidth="1"/>
    <col min="2049" max="2049" width="5.875" style="0" customWidth="1"/>
    <col min="2050" max="2050" width="6.125" style="0" customWidth="1"/>
    <col min="2051" max="2051" width="11.50390625" style="0" customWidth="1"/>
    <col min="2052" max="2052" width="15.875" style="0" customWidth="1"/>
    <col min="2053" max="2053" width="11.37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625" style="0" customWidth="1"/>
    <col min="2305" max="2305" width="5.875" style="0" customWidth="1"/>
    <col min="2306" max="2306" width="6.125" style="0" customWidth="1"/>
    <col min="2307" max="2307" width="11.50390625" style="0" customWidth="1"/>
    <col min="2308" max="2308" width="15.875" style="0" customWidth="1"/>
    <col min="2309" max="2309" width="11.37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625" style="0" customWidth="1"/>
    <col min="2561" max="2561" width="5.875" style="0" customWidth="1"/>
    <col min="2562" max="2562" width="6.125" style="0" customWidth="1"/>
    <col min="2563" max="2563" width="11.50390625" style="0" customWidth="1"/>
    <col min="2564" max="2564" width="15.875" style="0" customWidth="1"/>
    <col min="2565" max="2565" width="11.37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625" style="0" customWidth="1"/>
    <col min="2817" max="2817" width="5.875" style="0" customWidth="1"/>
    <col min="2818" max="2818" width="6.125" style="0" customWidth="1"/>
    <col min="2819" max="2819" width="11.50390625" style="0" customWidth="1"/>
    <col min="2820" max="2820" width="15.875" style="0" customWidth="1"/>
    <col min="2821" max="2821" width="11.37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625" style="0" customWidth="1"/>
    <col min="3073" max="3073" width="5.875" style="0" customWidth="1"/>
    <col min="3074" max="3074" width="6.125" style="0" customWidth="1"/>
    <col min="3075" max="3075" width="11.50390625" style="0" customWidth="1"/>
    <col min="3076" max="3076" width="15.875" style="0" customWidth="1"/>
    <col min="3077" max="3077" width="11.37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625" style="0" customWidth="1"/>
    <col min="3329" max="3329" width="5.875" style="0" customWidth="1"/>
    <col min="3330" max="3330" width="6.125" style="0" customWidth="1"/>
    <col min="3331" max="3331" width="11.50390625" style="0" customWidth="1"/>
    <col min="3332" max="3332" width="15.875" style="0" customWidth="1"/>
    <col min="3333" max="3333" width="11.37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625" style="0" customWidth="1"/>
    <col min="3585" max="3585" width="5.875" style="0" customWidth="1"/>
    <col min="3586" max="3586" width="6.125" style="0" customWidth="1"/>
    <col min="3587" max="3587" width="11.50390625" style="0" customWidth="1"/>
    <col min="3588" max="3588" width="15.875" style="0" customWidth="1"/>
    <col min="3589" max="3589" width="11.37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625" style="0" customWidth="1"/>
    <col min="3841" max="3841" width="5.875" style="0" customWidth="1"/>
    <col min="3842" max="3842" width="6.125" style="0" customWidth="1"/>
    <col min="3843" max="3843" width="11.50390625" style="0" customWidth="1"/>
    <col min="3844" max="3844" width="15.875" style="0" customWidth="1"/>
    <col min="3845" max="3845" width="11.37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625" style="0" customWidth="1"/>
    <col min="4097" max="4097" width="5.875" style="0" customWidth="1"/>
    <col min="4098" max="4098" width="6.125" style="0" customWidth="1"/>
    <col min="4099" max="4099" width="11.50390625" style="0" customWidth="1"/>
    <col min="4100" max="4100" width="15.875" style="0" customWidth="1"/>
    <col min="4101" max="4101" width="11.37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625" style="0" customWidth="1"/>
    <col min="4353" max="4353" width="5.875" style="0" customWidth="1"/>
    <col min="4354" max="4354" width="6.125" style="0" customWidth="1"/>
    <col min="4355" max="4355" width="11.50390625" style="0" customWidth="1"/>
    <col min="4356" max="4356" width="15.875" style="0" customWidth="1"/>
    <col min="4357" max="4357" width="11.37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625" style="0" customWidth="1"/>
    <col min="4609" max="4609" width="5.875" style="0" customWidth="1"/>
    <col min="4610" max="4610" width="6.125" style="0" customWidth="1"/>
    <col min="4611" max="4611" width="11.50390625" style="0" customWidth="1"/>
    <col min="4612" max="4612" width="15.875" style="0" customWidth="1"/>
    <col min="4613" max="4613" width="11.37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625" style="0" customWidth="1"/>
    <col min="4865" max="4865" width="5.875" style="0" customWidth="1"/>
    <col min="4866" max="4866" width="6.125" style="0" customWidth="1"/>
    <col min="4867" max="4867" width="11.50390625" style="0" customWidth="1"/>
    <col min="4868" max="4868" width="15.875" style="0" customWidth="1"/>
    <col min="4869" max="4869" width="11.37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625" style="0" customWidth="1"/>
    <col min="5121" max="5121" width="5.875" style="0" customWidth="1"/>
    <col min="5122" max="5122" width="6.125" style="0" customWidth="1"/>
    <col min="5123" max="5123" width="11.50390625" style="0" customWidth="1"/>
    <col min="5124" max="5124" width="15.875" style="0" customWidth="1"/>
    <col min="5125" max="5125" width="11.37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625" style="0" customWidth="1"/>
    <col min="5377" max="5377" width="5.875" style="0" customWidth="1"/>
    <col min="5378" max="5378" width="6.125" style="0" customWidth="1"/>
    <col min="5379" max="5379" width="11.50390625" style="0" customWidth="1"/>
    <col min="5380" max="5380" width="15.875" style="0" customWidth="1"/>
    <col min="5381" max="5381" width="11.37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625" style="0" customWidth="1"/>
    <col min="5633" max="5633" width="5.875" style="0" customWidth="1"/>
    <col min="5634" max="5634" width="6.125" style="0" customWidth="1"/>
    <col min="5635" max="5635" width="11.50390625" style="0" customWidth="1"/>
    <col min="5636" max="5636" width="15.875" style="0" customWidth="1"/>
    <col min="5637" max="5637" width="11.37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625" style="0" customWidth="1"/>
    <col min="5889" max="5889" width="5.875" style="0" customWidth="1"/>
    <col min="5890" max="5890" width="6.125" style="0" customWidth="1"/>
    <col min="5891" max="5891" width="11.50390625" style="0" customWidth="1"/>
    <col min="5892" max="5892" width="15.875" style="0" customWidth="1"/>
    <col min="5893" max="5893" width="11.37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625" style="0" customWidth="1"/>
    <col min="6145" max="6145" width="5.875" style="0" customWidth="1"/>
    <col min="6146" max="6146" width="6.125" style="0" customWidth="1"/>
    <col min="6147" max="6147" width="11.50390625" style="0" customWidth="1"/>
    <col min="6148" max="6148" width="15.875" style="0" customWidth="1"/>
    <col min="6149" max="6149" width="11.37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625" style="0" customWidth="1"/>
    <col min="6401" max="6401" width="5.875" style="0" customWidth="1"/>
    <col min="6402" max="6402" width="6.125" style="0" customWidth="1"/>
    <col min="6403" max="6403" width="11.50390625" style="0" customWidth="1"/>
    <col min="6404" max="6404" width="15.875" style="0" customWidth="1"/>
    <col min="6405" max="6405" width="11.37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625" style="0" customWidth="1"/>
    <col min="6657" max="6657" width="5.875" style="0" customWidth="1"/>
    <col min="6658" max="6658" width="6.125" style="0" customWidth="1"/>
    <col min="6659" max="6659" width="11.50390625" style="0" customWidth="1"/>
    <col min="6660" max="6660" width="15.875" style="0" customWidth="1"/>
    <col min="6661" max="6661" width="11.37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625" style="0" customWidth="1"/>
    <col min="6913" max="6913" width="5.875" style="0" customWidth="1"/>
    <col min="6914" max="6914" width="6.125" style="0" customWidth="1"/>
    <col min="6915" max="6915" width="11.50390625" style="0" customWidth="1"/>
    <col min="6916" max="6916" width="15.875" style="0" customWidth="1"/>
    <col min="6917" max="6917" width="11.37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625" style="0" customWidth="1"/>
    <col min="7169" max="7169" width="5.875" style="0" customWidth="1"/>
    <col min="7170" max="7170" width="6.125" style="0" customWidth="1"/>
    <col min="7171" max="7171" width="11.50390625" style="0" customWidth="1"/>
    <col min="7172" max="7172" width="15.875" style="0" customWidth="1"/>
    <col min="7173" max="7173" width="11.37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625" style="0" customWidth="1"/>
    <col min="7425" max="7425" width="5.875" style="0" customWidth="1"/>
    <col min="7426" max="7426" width="6.125" style="0" customWidth="1"/>
    <col min="7427" max="7427" width="11.50390625" style="0" customWidth="1"/>
    <col min="7428" max="7428" width="15.875" style="0" customWidth="1"/>
    <col min="7429" max="7429" width="11.37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625" style="0" customWidth="1"/>
    <col min="7681" max="7681" width="5.875" style="0" customWidth="1"/>
    <col min="7682" max="7682" width="6.125" style="0" customWidth="1"/>
    <col min="7683" max="7683" width="11.50390625" style="0" customWidth="1"/>
    <col min="7684" max="7684" width="15.875" style="0" customWidth="1"/>
    <col min="7685" max="7685" width="11.37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625" style="0" customWidth="1"/>
    <col min="7937" max="7937" width="5.875" style="0" customWidth="1"/>
    <col min="7938" max="7938" width="6.125" style="0" customWidth="1"/>
    <col min="7939" max="7939" width="11.50390625" style="0" customWidth="1"/>
    <col min="7940" max="7940" width="15.875" style="0" customWidth="1"/>
    <col min="7941" max="7941" width="11.37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625" style="0" customWidth="1"/>
    <col min="8193" max="8193" width="5.875" style="0" customWidth="1"/>
    <col min="8194" max="8194" width="6.125" style="0" customWidth="1"/>
    <col min="8195" max="8195" width="11.50390625" style="0" customWidth="1"/>
    <col min="8196" max="8196" width="15.875" style="0" customWidth="1"/>
    <col min="8197" max="8197" width="11.37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625" style="0" customWidth="1"/>
    <col min="8449" max="8449" width="5.875" style="0" customWidth="1"/>
    <col min="8450" max="8450" width="6.125" style="0" customWidth="1"/>
    <col min="8451" max="8451" width="11.50390625" style="0" customWidth="1"/>
    <col min="8452" max="8452" width="15.875" style="0" customWidth="1"/>
    <col min="8453" max="8453" width="11.37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625" style="0" customWidth="1"/>
    <col min="8705" max="8705" width="5.875" style="0" customWidth="1"/>
    <col min="8706" max="8706" width="6.125" style="0" customWidth="1"/>
    <col min="8707" max="8707" width="11.50390625" style="0" customWidth="1"/>
    <col min="8708" max="8708" width="15.875" style="0" customWidth="1"/>
    <col min="8709" max="8709" width="11.37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625" style="0" customWidth="1"/>
    <col min="8961" max="8961" width="5.875" style="0" customWidth="1"/>
    <col min="8962" max="8962" width="6.125" style="0" customWidth="1"/>
    <col min="8963" max="8963" width="11.50390625" style="0" customWidth="1"/>
    <col min="8964" max="8964" width="15.875" style="0" customWidth="1"/>
    <col min="8965" max="8965" width="11.37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625" style="0" customWidth="1"/>
    <col min="9217" max="9217" width="5.875" style="0" customWidth="1"/>
    <col min="9218" max="9218" width="6.125" style="0" customWidth="1"/>
    <col min="9219" max="9219" width="11.50390625" style="0" customWidth="1"/>
    <col min="9220" max="9220" width="15.875" style="0" customWidth="1"/>
    <col min="9221" max="9221" width="11.37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625" style="0" customWidth="1"/>
    <col min="9473" max="9473" width="5.875" style="0" customWidth="1"/>
    <col min="9474" max="9474" width="6.125" style="0" customWidth="1"/>
    <col min="9475" max="9475" width="11.50390625" style="0" customWidth="1"/>
    <col min="9476" max="9476" width="15.875" style="0" customWidth="1"/>
    <col min="9477" max="9477" width="11.37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625" style="0" customWidth="1"/>
    <col min="9729" max="9729" width="5.875" style="0" customWidth="1"/>
    <col min="9730" max="9730" width="6.125" style="0" customWidth="1"/>
    <col min="9731" max="9731" width="11.50390625" style="0" customWidth="1"/>
    <col min="9732" max="9732" width="15.875" style="0" customWidth="1"/>
    <col min="9733" max="9733" width="11.37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625" style="0" customWidth="1"/>
    <col min="9985" max="9985" width="5.875" style="0" customWidth="1"/>
    <col min="9986" max="9986" width="6.125" style="0" customWidth="1"/>
    <col min="9987" max="9987" width="11.50390625" style="0" customWidth="1"/>
    <col min="9988" max="9988" width="15.875" style="0" customWidth="1"/>
    <col min="9989" max="9989" width="11.37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625" style="0" customWidth="1"/>
    <col min="10241" max="10241" width="5.875" style="0" customWidth="1"/>
    <col min="10242" max="10242" width="6.125" style="0" customWidth="1"/>
    <col min="10243" max="10243" width="11.50390625" style="0" customWidth="1"/>
    <col min="10244" max="10244" width="15.875" style="0" customWidth="1"/>
    <col min="10245" max="10245" width="11.37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625" style="0" customWidth="1"/>
    <col min="10497" max="10497" width="5.875" style="0" customWidth="1"/>
    <col min="10498" max="10498" width="6.125" style="0" customWidth="1"/>
    <col min="10499" max="10499" width="11.50390625" style="0" customWidth="1"/>
    <col min="10500" max="10500" width="15.875" style="0" customWidth="1"/>
    <col min="10501" max="10501" width="11.37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625" style="0" customWidth="1"/>
    <col min="10753" max="10753" width="5.875" style="0" customWidth="1"/>
    <col min="10754" max="10754" width="6.125" style="0" customWidth="1"/>
    <col min="10755" max="10755" width="11.50390625" style="0" customWidth="1"/>
    <col min="10756" max="10756" width="15.875" style="0" customWidth="1"/>
    <col min="10757" max="10757" width="11.37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625" style="0" customWidth="1"/>
    <col min="11009" max="11009" width="5.875" style="0" customWidth="1"/>
    <col min="11010" max="11010" width="6.125" style="0" customWidth="1"/>
    <col min="11011" max="11011" width="11.50390625" style="0" customWidth="1"/>
    <col min="11012" max="11012" width="15.875" style="0" customWidth="1"/>
    <col min="11013" max="11013" width="11.37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625" style="0" customWidth="1"/>
    <col min="11265" max="11265" width="5.875" style="0" customWidth="1"/>
    <col min="11266" max="11266" width="6.125" style="0" customWidth="1"/>
    <col min="11267" max="11267" width="11.50390625" style="0" customWidth="1"/>
    <col min="11268" max="11268" width="15.875" style="0" customWidth="1"/>
    <col min="11269" max="11269" width="11.37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625" style="0" customWidth="1"/>
    <col min="11521" max="11521" width="5.875" style="0" customWidth="1"/>
    <col min="11522" max="11522" width="6.125" style="0" customWidth="1"/>
    <col min="11523" max="11523" width="11.50390625" style="0" customWidth="1"/>
    <col min="11524" max="11524" width="15.875" style="0" customWidth="1"/>
    <col min="11525" max="11525" width="11.37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625" style="0" customWidth="1"/>
    <col min="11777" max="11777" width="5.875" style="0" customWidth="1"/>
    <col min="11778" max="11778" width="6.125" style="0" customWidth="1"/>
    <col min="11779" max="11779" width="11.50390625" style="0" customWidth="1"/>
    <col min="11780" max="11780" width="15.875" style="0" customWidth="1"/>
    <col min="11781" max="11781" width="11.37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625" style="0" customWidth="1"/>
    <col min="12033" max="12033" width="5.875" style="0" customWidth="1"/>
    <col min="12034" max="12034" width="6.125" style="0" customWidth="1"/>
    <col min="12035" max="12035" width="11.50390625" style="0" customWidth="1"/>
    <col min="12036" max="12036" width="15.875" style="0" customWidth="1"/>
    <col min="12037" max="12037" width="11.37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625" style="0" customWidth="1"/>
    <col min="12289" max="12289" width="5.875" style="0" customWidth="1"/>
    <col min="12290" max="12290" width="6.125" style="0" customWidth="1"/>
    <col min="12291" max="12291" width="11.50390625" style="0" customWidth="1"/>
    <col min="12292" max="12292" width="15.875" style="0" customWidth="1"/>
    <col min="12293" max="12293" width="11.37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625" style="0" customWidth="1"/>
    <col min="12545" max="12545" width="5.875" style="0" customWidth="1"/>
    <col min="12546" max="12546" width="6.125" style="0" customWidth="1"/>
    <col min="12547" max="12547" width="11.50390625" style="0" customWidth="1"/>
    <col min="12548" max="12548" width="15.875" style="0" customWidth="1"/>
    <col min="12549" max="12549" width="11.37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625" style="0" customWidth="1"/>
    <col min="12801" max="12801" width="5.875" style="0" customWidth="1"/>
    <col min="12802" max="12802" width="6.125" style="0" customWidth="1"/>
    <col min="12803" max="12803" width="11.50390625" style="0" customWidth="1"/>
    <col min="12804" max="12804" width="15.875" style="0" customWidth="1"/>
    <col min="12805" max="12805" width="11.37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625" style="0" customWidth="1"/>
    <col min="13057" max="13057" width="5.875" style="0" customWidth="1"/>
    <col min="13058" max="13058" width="6.125" style="0" customWidth="1"/>
    <col min="13059" max="13059" width="11.50390625" style="0" customWidth="1"/>
    <col min="13060" max="13060" width="15.875" style="0" customWidth="1"/>
    <col min="13061" max="13061" width="11.37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625" style="0" customWidth="1"/>
    <col min="13313" max="13313" width="5.875" style="0" customWidth="1"/>
    <col min="13314" max="13314" width="6.125" style="0" customWidth="1"/>
    <col min="13315" max="13315" width="11.50390625" style="0" customWidth="1"/>
    <col min="13316" max="13316" width="15.875" style="0" customWidth="1"/>
    <col min="13317" max="13317" width="11.37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625" style="0" customWidth="1"/>
    <col min="13569" max="13569" width="5.875" style="0" customWidth="1"/>
    <col min="13570" max="13570" width="6.125" style="0" customWidth="1"/>
    <col min="13571" max="13571" width="11.50390625" style="0" customWidth="1"/>
    <col min="13572" max="13572" width="15.875" style="0" customWidth="1"/>
    <col min="13573" max="13573" width="11.37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625" style="0" customWidth="1"/>
    <col min="13825" max="13825" width="5.875" style="0" customWidth="1"/>
    <col min="13826" max="13826" width="6.125" style="0" customWidth="1"/>
    <col min="13827" max="13827" width="11.50390625" style="0" customWidth="1"/>
    <col min="13828" max="13828" width="15.875" style="0" customWidth="1"/>
    <col min="13829" max="13829" width="11.37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625" style="0" customWidth="1"/>
    <col min="14081" max="14081" width="5.875" style="0" customWidth="1"/>
    <col min="14082" max="14082" width="6.125" style="0" customWidth="1"/>
    <col min="14083" max="14083" width="11.50390625" style="0" customWidth="1"/>
    <col min="14084" max="14084" width="15.875" style="0" customWidth="1"/>
    <col min="14085" max="14085" width="11.37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625" style="0" customWidth="1"/>
    <col min="14337" max="14337" width="5.875" style="0" customWidth="1"/>
    <col min="14338" max="14338" width="6.125" style="0" customWidth="1"/>
    <col min="14339" max="14339" width="11.50390625" style="0" customWidth="1"/>
    <col min="14340" max="14340" width="15.875" style="0" customWidth="1"/>
    <col min="14341" max="14341" width="11.37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625" style="0" customWidth="1"/>
    <col min="14593" max="14593" width="5.875" style="0" customWidth="1"/>
    <col min="14594" max="14594" width="6.125" style="0" customWidth="1"/>
    <col min="14595" max="14595" width="11.50390625" style="0" customWidth="1"/>
    <col min="14596" max="14596" width="15.875" style="0" customWidth="1"/>
    <col min="14597" max="14597" width="11.37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625" style="0" customWidth="1"/>
    <col min="14849" max="14849" width="5.875" style="0" customWidth="1"/>
    <col min="14850" max="14850" width="6.125" style="0" customWidth="1"/>
    <col min="14851" max="14851" width="11.50390625" style="0" customWidth="1"/>
    <col min="14852" max="14852" width="15.875" style="0" customWidth="1"/>
    <col min="14853" max="14853" width="11.37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625" style="0" customWidth="1"/>
    <col min="15105" max="15105" width="5.875" style="0" customWidth="1"/>
    <col min="15106" max="15106" width="6.125" style="0" customWidth="1"/>
    <col min="15107" max="15107" width="11.50390625" style="0" customWidth="1"/>
    <col min="15108" max="15108" width="15.875" style="0" customWidth="1"/>
    <col min="15109" max="15109" width="11.37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625" style="0" customWidth="1"/>
    <col min="15361" max="15361" width="5.875" style="0" customWidth="1"/>
    <col min="15362" max="15362" width="6.125" style="0" customWidth="1"/>
    <col min="15363" max="15363" width="11.50390625" style="0" customWidth="1"/>
    <col min="15364" max="15364" width="15.875" style="0" customWidth="1"/>
    <col min="15365" max="15365" width="11.37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625" style="0" customWidth="1"/>
    <col min="15617" max="15617" width="5.875" style="0" customWidth="1"/>
    <col min="15618" max="15618" width="6.125" style="0" customWidth="1"/>
    <col min="15619" max="15619" width="11.50390625" style="0" customWidth="1"/>
    <col min="15620" max="15620" width="15.875" style="0" customWidth="1"/>
    <col min="15621" max="15621" width="11.37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625" style="0" customWidth="1"/>
    <col min="15873" max="15873" width="5.875" style="0" customWidth="1"/>
    <col min="15874" max="15874" width="6.125" style="0" customWidth="1"/>
    <col min="15875" max="15875" width="11.50390625" style="0" customWidth="1"/>
    <col min="15876" max="15876" width="15.875" style="0" customWidth="1"/>
    <col min="15877" max="15877" width="11.37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625" style="0" customWidth="1"/>
    <col min="16129" max="16129" width="5.875" style="0" customWidth="1"/>
    <col min="16130" max="16130" width="6.125" style="0" customWidth="1"/>
    <col min="16131" max="16131" width="11.50390625" style="0" customWidth="1"/>
    <col min="16132" max="16132" width="15.875" style="0" customWidth="1"/>
    <col min="16133" max="16133" width="11.37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625" style="0" customWidth="1"/>
  </cols>
  <sheetData>
    <row r="1" spans="1:9" ht="13.8" thickTop="1">
      <c r="A1" s="1579" t="s">
        <v>2</v>
      </c>
      <c r="B1" s="1580"/>
      <c r="C1" s="102" t="str">
        <f>CONCATENATE(cislostavby," ",nazevstavby)</f>
        <v>2013/88 Lednice zahrady</v>
      </c>
      <c r="D1" s="100"/>
      <c r="E1" s="101"/>
      <c r="F1" s="100"/>
      <c r="G1" s="99" t="s">
        <v>81</v>
      </c>
      <c r="H1" s="98"/>
      <c r="I1" s="97"/>
    </row>
    <row r="2" spans="1:9" ht="13.8" thickBot="1">
      <c r="A2" s="1581" t="s">
        <v>79</v>
      </c>
      <c r="B2" s="1582"/>
      <c r="C2" s="96" t="s">
        <v>1663</v>
      </c>
      <c r="D2" s="94"/>
      <c r="E2" s="95"/>
      <c r="F2" s="94"/>
      <c r="G2" s="1583"/>
      <c r="H2" s="1584"/>
      <c r="I2" s="1585"/>
    </row>
    <row r="3" spans="1:9" ht="13.8" thickTop="1">
      <c r="A3" s="1"/>
      <c r="B3" s="1"/>
      <c r="C3" s="1"/>
      <c r="D3" s="1"/>
      <c r="E3" s="1"/>
      <c r="F3" s="74"/>
      <c r="G3" s="1"/>
      <c r="H3" s="1"/>
      <c r="I3" s="1"/>
    </row>
    <row r="4" spans="1:9" ht="19.5" customHeight="1">
      <c r="A4" s="93" t="s">
        <v>76</v>
      </c>
      <c r="B4" s="72"/>
      <c r="C4" s="72"/>
      <c r="D4" s="72"/>
      <c r="E4" s="92"/>
      <c r="F4" s="72"/>
      <c r="G4" s="72"/>
      <c r="H4" s="1308"/>
      <c r="I4" s="72"/>
    </row>
    <row r="5" spans="1:9" ht="13.8" thickBot="1">
      <c r="A5" s="1"/>
      <c r="B5" s="1"/>
      <c r="C5" s="1"/>
      <c r="D5" s="1"/>
      <c r="E5" s="1"/>
      <c r="F5" s="1"/>
      <c r="G5" s="1"/>
      <c r="H5" s="1"/>
      <c r="I5" s="1"/>
    </row>
    <row r="6" spans="1:9" s="256" customFormat="1" ht="13.8" thickBot="1">
      <c r="A6" s="91"/>
      <c r="B6" s="90" t="s">
        <v>75</v>
      </c>
      <c r="C6" s="90"/>
      <c r="D6" s="89"/>
      <c r="E6" s="88" t="s">
        <v>74</v>
      </c>
      <c r="F6" s="87" t="s">
        <v>73</v>
      </c>
      <c r="G6" s="87" t="s">
        <v>72</v>
      </c>
      <c r="H6" s="87" t="s">
        <v>71</v>
      </c>
      <c r="I6" s="86" t="s">
        <v>70</v>
      </c>
    </row>
    <row r="7" spans="1:9" s="256" customFormat="1" ht="12.75">
      <c r="A7" s="85" t="str">
        <f>'z06 2P'!B7</f>
        <v>1</v>
      </c>
      <c r="B7" s="35" t="str">
        <f>'z06 2P'!C7</f>
        <v>Zemní práce</v>
      </c>
      <c r="C7" s="119"/>
      <c r="D7" s="1323"/>
      <c r="E7" s="1324">
        <f>'z06 2P'!BA24</f>
        <v>0</v>
      </c>
      <c r="F7" s="1325">
        <f>'z06 2P'!BB24</f>
        <v>0</v>
      </c>
      <c r="G7" s="1325">
        <f>'z06 2P'!BC24</f>
        <v>0</v>
      </c>
      <c r="H7" s="1325">
        <f>'z06 2P'!BD24</f>
        <v>0</v>
      </c>
      <c r="I7" s="1326">
        <f>'z06 2P'!BE24</f>
        <v>0</v>
      </c>
    </row>
    <row r="8" spans="1:9" s="256" customFormat="1" ht="12.75">
      <c r="A8" s="85" t="str">
        <f>'z06 2P'!B25</f>
        <v>99</v>
      </c>
      <c r="B8" s="35" t="str">
        <f>'z06 2P'!C25</f>
        <v>Staveništní přesun hmot</v>
      </c>
      <c r="C8" s="119"/>
      <c r="D8" s="1323"/>
      <c r="E8" s="1324">
        <f>'z06 2P'!BA27</f>
        <v>0</v>
      </c>
      <c r="F8" s="1325">
        <f>'z06 2P'!BB27</f>
        <v>0</v>
      </c>
      <c r="G8" s="1325">
        <f>'z06 2P'!BC27</f>
        <v>0</v>
      </c>
      <c r="H8" s="1325">
        <f>'z06 2P'!BD27</f>
        <v>0</v>
      </c>
      <c r="I8" s="1326">
        <f>'z06 2P'!BE27</f>
        <v>0</v>
      </c>
    </row>
    <row r="9" spans="1:9" s="256" customFormat="1" ht="13.8" thickBot="1">
      <c r="A9" s="85" t="str">
        <f>'z06 2P'!B28</f>
        <v>767</v>
      </c>
      <c r="B9" s="35" t="str">
        <f>'z06 2P'!C28</f>
        <v>Konstrukce zámečnické</v>
      </c>
      <c r="C9" s="119"/>
      <c r="D9" s="1323"/>
      <c r="E9" s="1324">
        <f>'z06 2P'!BA40</f>
        <v>0</v>
      </c>
      <c r="F9" s="1325">
        <f>'z06 2P'!BB40</f>
        <v>0</v>
      </c>
      <c r="G9" s="1325">
        <f>'z06 2P'!BC40</f>
        <v>0</v>
      </c>
      <c r="H9" s="1325">
        <f>'z06 2P'!BD40</f>
        <v>0</v>
      </c>
      <c r="I9" s="1326">
        <f>'z06 2P'!BE40</f>
        <v>0</v>
      </c>
    </row>
    <row r="10" spans="1:9" s="262" customFormat="1" ht="13.8" thickBot="1">
      <c r="A10" s="80"/>
      <c r="B10" s="79" t="s">
        <v>69</v>
      </c>
      <c r="C10" s="1327"/>
      <c r="D10" s="1328"/>
      <c r="E10" s="1329">
        <f>SUM(E7:E9)</f>
        <v>0</v>
      </c>
      <c r="F10" s="1330">
        <f>SUM(F7:F9)</f>
        <v>0</v>
      </c>
      <c r="G10" s="1330">
        <f>SUM(G7:G9)</f>
        <v>0</v>
      </c>
      <c r="H10" s="1330">
        <f>SUM(H7:H9)</f>
        <v>0</v>
      </c>
      <c r="I10" s="1331">
        <f>SUM(I7:I9)</f>
        <v>0</v>
      </c>
    </row>
    <row r="11" spans="1:9" ht="12.75">
      <c r="A11" s="74"/>
      <c r="B11" s="74"/>
      <c r="C11" s="74"/>
      <c r="D11" s="74"/>
      <c r="E11" s="74"/>
      <c r="F11" s="74"/>
      <c r="G11" s="74"/>
      <c r="H11" s="74"/>
      <c r="I11" s="74"/>
    </row>
    <row r="12" spans="1:57" ht="19.5" customHeight="1">
      <c r="A12" s="72" t="s">
        <v>68</v>
      </c>
      <c r="B12" s="72"/>
      <c r="C12" s="72"/>
      <c r="D12" s="72"/>
      <c r="E12" s="72"/>
      <c r="F12" s="72"/>
      <c r="G12" s="73"/>
      <c r="H12" s="72"/>
      <c r="I12" s="72"/>
      <c r="BA12" s="258"/>
      <c r="BB12" s="258"/>
      <c r="BC12" s="258"/>
      <c r="BD12" s="258"/>
      <c r="BE12" s="258"/>
    </row>
    <row r="13" spans="1:9" ht="13.8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71" t="s">
        <v>67</v>
      </c>
      <c r="B14" s="70"/>
      <c r="C14" s="70"/>
      <c r="D14" s="69"/>
      <c r="E14" s="68" t="s">
        <v>65</v>
      </c>
      <c r="F14" s="67" t="s">
        <v>9</v>
      </c>
      <c r="G14" s="66" t="s">
        <v>66</v>
      </c>
      <c r="H14" s="65"/>
      <c r="I14" s="64" t="s">
        <v>65</v>
      </c>
    </row>
    <row r="15" spans="1:53" ht="12.75">
      <c r="A15" s="63" t="s">
        <v>64</v>
      </c>
      <c r="B15" s="62"/>
      <c r="C15" s="62"/>
      <c r="D15" s="61"/>
      <c r="E15" s="1332">
        <v>0</v>
      </c>
      <c r="F15" s="1333">
        <v>0</v>
      </c>
      <c r="G15" s="1334">
        <f>E10+F10</f>
        <v>0</v>
      </c>
      <c r="H15" s="1335"/>
      <c r="I15" s="1336">
        <f aca="true" t="shared" si="0" ref="I15:I22">E15+F15*G15/100</f>
        <v>0</v>
      </c>
      <c r="BA15">
        <v>0</v>
      </c>
    </row>
    <row r="16" spans="1:53" ht="12.75">
      <c r="A16" s="63" t="s">
        <v>63</v>
      </c>
      <c r="B16" s="62"/>
      <c r="C16" s="62"/>
      <c r="D16" s="61"/>
      <c r="E16" s="1332">
        <v>0</v>
      </c>
      <c r="F16" s="1333">
        <v>0</v>
      </c>
      <c r="G16" s="1334">
        <f>$G$15</f>
        <v>0</v>
      </c>
      <c r="H16" s="1335"/>
      <c r="I16" s="1336">
        <f t="shared" si="0"/>
        <v>0</v>
      </c>
      <c r="BA16">
        <v>0</v>
      </c>
    </row>
    <row r="17" spans="1:53" ht="12.75">
      <c r="A17" s="63" t="s">
        <v>62</v>
      </c>
      <c r="B17" s="62"/>
      <c r="C17" s="62"/>
      <c r="D17" s="61"/>
      <c r="E17" s="1332">
        <v>0</v>
      </c>
      <c r="F17" s="1333">
        <v>0</v>
      </c>
      <c r="G17" s="1334">
        <f aca="true" t="shared" si="1" ref="G17:G22">$G$15</f>
        <v>0</v>
      </c>
      <c r="H17" s="1335"/>
      <c r="I17" s="1336">
        <f t="shared" si="0"/>
        <v>0</v>
      </c>
      <c r="BA17">
        <v>0</v>
      </c>
    </row>
    <row r="18" spans="1:53" ht="12.75">
      <c r="A18" s="63" t="s">
        <v>61</v>
      </c>
      <c r="B18" s="62"/>
      <c r="C18" s="62"/>
      <c r="D18" s="61"/>
      <c r="E18" s="1332">
        <v>0</v>
      </c>
      <c r="F18" s="1333">
        <v>0</v>
      </c>
      <c r="G18" s="1334">
        <f t="shared" si="1"/>
        <v>0</v>
      </c>
      <c r="H18" s="1335"/>
      <c r="I18" s="1336">
        <f t="shared" si="0"/>
        <v>0</v>
      </c>
      <c r="BA18">
        <v>0</v>
      </c>
    </row>
    <row r="19" spans="1:53" ht="12.75">
      <c r="A19" s="63" t="s">
        <v>60</v>
      </c>
      <c r="B19" s="62"/>
      <c r="C19" s="62"/>
      <c r="D19" s="61"/>
      <c r="E19" s="1332">
        <v>0</v>
      </c>
      <c r="F19" s="1333">
        <v>3</v>
      </c>
      <c r="G19" s="1334">
        <f t="shared" si="1"/>
        <v>0</v>
      </c>
      <c r="H19" s="1335"/>
      <c r="I19" s="1336">
        <f t="shared" si="0"/>
        <v>0</v>
      </c>
      <c r="BA19">
        <v>1</v>
      </c>
    </row>
    <row r="20" spans="1:53" ht="12.75">
      <c r="A20" s="63" t="s">
        <v>59</v>
      </c>
      <c r="B20" s="62"/>
      <c r="C20" s="62"/>
      <c r="D20" s="61"/>
      <c r="E20" s="1332">
        <v>0</v>
      </c>
      <c r="F20" s="1333">
        <v>0</v>
      </c>
      <c r="G20" s="1334">
        <f t="shared" si="1"/>
        <v>0</v>
      </c>
      <c r="H20" s="1335"/>
      <c r="I20" s="1336">
        <f t="shared" si="0"/>
        <v>0</v>
      </c>
      <c r="BA20">
        <v>1</v>
      </c>
    </row>
    <row r="21" spans="1:53" ht="12.75">
      <c r="A21" s="63" t="s">
        <v>58</v>
      </c>
      <c r="B21" s="62"/>
      <c r="C21" s="62"/>
      <c r="D21" s="61"/>
      <c r="E21" s="1332">
        <v>0</v>
      </c>
      <c r="F21" s="1333">
        <v>1.2</v>
      </c>
      <c r="G21" s="1334">
        <f t="shared" si="1"/>
        <v>0</v>
      </c>
      <c r="H21" s="1335"/>
      <c r="I21" s="1336">
        <f t="shared" si="0"/>
        <v>0</v>
      </c>
      <c r="BA21">
        <v>2</v>
      </c>
    </row>
    <row r="22" spans="1:53" ht="12.75">
      <c r="A22" s="63" t="s">
        <v>41</v>
      </c>
      <c r="B22" s="62"/>
      <c r="C22" s="62"/>
      <c r="D22" s="61"/>
      <c r="E22" s="1332">
        <v>0</v>
      </c>
      <c r="F22" s="1333">
        <v>0</v>
      </c>
      <c r="G22" s="1334">
        <f t="shared" si="1"/>
        <v>0</v>
      </c>
      <c r="H22" s="1335"/>
      <c r="I22" s="1336">
        <f t="shared" si="0"/>
        <v>0</v>
      </c>
      <c r="BA22">
        <v>2</v>
      </c>
    </row>
    <row r="23" spans="1:9" ht="13.8" thickBot="1">
      <c r="A23" s="55"/>
      <c r="B23" s="54" t="s">
        <v>57</v>
      </c>
      <c r="C23" s="53"/>
      <c r="D23" s="52"/>
      <c r="E23" s="1337"/>
      <c r="F23" s="1338"/>
      <c r="G23" s="1338"/>
      <c r="H23" s="1667">
        <f>SUM(I15:I22)</f>
        <v>0</v>
      </c>
      <c r="I23" s="1668"/>
    </row>
    <row r="25" spans="2:9" ht="12.75">
      <c r="B25" s="262"/>
      <c r="F25" s="263"/>
      <c r="G25" s="264"/>
      <c r="H25" s="264"/>
      <c r="I25" s="265"/>
    </row>
    <row r="26" spans="6:9" ht="12.75">
      <c r="F26" s="263"/>
      <c r="G26" s="264"/>
      <c r="H26" s="264"/>
      <c r="I26" s="265"/>
    </row>
    <row r="27" spans="6:9" ht="12.75">
      <c r="F27" s="263"/>
      <c r="G27" s="264"/>
      <c r="H27" s="264"/>
      <c r="I27" s="265"/>
    </row>
    <row r="28" spans="6:9" ht="12.75">
      <c r="F28" s="263"/>
      <c r="G28" s="264"/>
      <c r="H28" s="264"/>
      <c r="I28" s="265"/>
    </row>
    <row r="29" spans="6:9" ht="12.75">
      <c r="F29" s="263"/>
      <c r="G29" s="264"/>
      <c r="H29" s="264"/>
      <c r="I29" s="265"/>
    </row>
    <row r="30" spans="6:9" ht="12.75">
      <c r="F30" s="263"/>
      <c r="G30" s="264"/>
      <c r="H30" s="264"/>
      <c r="I30" s="265"/>
    </row>
    <row r="31" spans="6:9" ht="12.75">
      <c r="F31" s="263"/>
      <c r="G31" s="264"/>
      <c r="H31" s="264"/>
      <c r="I31" s="265"/>
    </row>
    <row r="32" spans="6:9" ht="12.75">
      <c r="F32" s="263"/>
      <c r="G32" s="264"/>
      <c r="H32" s="264"/>
      <c r="I32" s="265"/>
    </row>
    <row r="33" spans="6:9" ht="12.75">
      <c r="F33" s="263"/>
      <c r="G33" s="264"/>
      <c r="H33" s="264"/>
      <c r="I33" s="265"/>
    </row>
    <row r="34" spans="6:9" ht="12.75">
      <c r="F34" s="263"/>
      <c r="G34" s="264"/>
      <c r="H34" s="264"/>
      <c r="I34" s="265"/>
    </row>
    <row r="35" spans="6:9" ht="12.75">
      <c r="F35" s="263"/>
      <c r="G35" s="264"/>
      <c r="H35" s="264"/>
      <c r="I35" s="265"/>
    </row>
    <row r="36" spans="6:9" ht="12.75">
      <c r="F36" s="263"/>
      <c r="G36" s="264"/>
      <c r="H36" s="264"/>
      <c r="I36" s="265"/>
    </row>
    <row r="37" spans="6:9" ht="12.75">
      <c r="F37" s="263"/>
      <c r="G37" s="264"/>
      <c r="H37" s="264"/>
      <c r="I37" s="265"/>
    </row>
    <row r="38" spans="6:9" ht="12.75">
      <c r="F38" s="263"/>
      <c r="G38" s="264"/>
      <c r="H38" s="264"/>
      <c r="I38" s="265"/>
    </row>
    <row r="39" spans="6:9" ht="12.75">
      <c r="F39" s="263"/>
      <c r="G39" s="264"/>
      <c r="H39" s="264"/>
      <c r="I39" s="265"/>
    </row>
    <row r="40" spans="6:9" ht="12.75">
      <c r="F40" s="263"/>
      <c r="G40" s="264"/>
      <c r="H40" s="264"/>
      <c r="I40" s="265"/>
    </row>
    <row r="41" spans="6:9" ht="12.75">
      <c r="F41" s="263"/>
      <c r="G41" s="264"/>
      <c r="H41" s="264"/>
      <c r="I41" s="265"/>
    </row>
    <row r="42" spans="6:9" ht="12.75">
      <c r="F42" s="263"/>
      <c r="G42" s="264"/>
      <c r="H42" s="264"/>
      <c r="I42" s="265"/>
    </row>
    <row r="43" spans="6:9" ht="12.75">
      <c r="F43" s="263"/>
      <c r="G43" s="264"/>
      <c r="H43" s="264"/>
      <c r="I43" s="265"/>
    </row>
    <row r="44" spans="6:9" ht="12.75">
      <c r="F44" s="263"/>
      <c r="G44" s="264"/>
      <c r="H44" s="264"/>
      <c r="I44" s="265"/>
    </row>
    <row r="45" spans="6:9" ht="12.75">
      <c r="F45" s="263"/>
      <c r="G45" s="264"/>
      <c r="H45" s="264"/>
      <c r="I45" s="265"/>
    </row>
    <row r="46" spans="6:9" ht="12.75">
      <c r="F46" s="263"/>
      <c r="G46" s="264"/>
      <c r="H46" s="264"/>
      <c r="I46" s="265"/>
    </row>
    <row r="47" spans="6:9" ht="12.75">
      <c r="F47" s="263"/>
      <c r="G47" s="264"/>
      <c r="H47" s="264"/>
      <c r="I47" s="265"/>
    </row>
    <row r="48" spans="6:9" ht="12.75">
      <c r="F48" s="263"/>
      <c r="G48" s="264"/>
      <c r="H48" s="264"/>
      <c r="I48" s="265"/>
    </row>
    <row r="49" spans="6:9" ht="12.75">
      <c r="F49" s="263"/>
      <c r="G49" s="264"/>
      <c r="H49" s="264"/>
      <c r="I49" s="265"/>
    </row>
    <row r="50" spans="6:9" ht="12.75">
      <c r="F50" s="263"/>
      <c r="G50" s="264"/>
      <c r="H50" s="264"/>
      <c r="I50" s="265"/>
    </row>
    <row r="51" spans="6:9" ht="12.75">
      <c r="F51" s="263"/>
      <c r="G51" s="264"/>
      <c r="H51" s="264"/>
      <c r="I51" s="265"/>
    </row>
    <row r="52" spans="6:9" ht="12.75">
      <c r="F52" s="263"/>
      <c r="G52" s="264"/>
      <c r="H52" s="264"/>
      <c r="I52" s="265"/>
    </row>
    <row r="53" spans="6:9" ht="12.75">
      <c r="F53" s="263"/>
      <c r="G53" s="264"/>
      <c r="H53" s="264"/>
      <c r="I53" s="265"/>
    </row>
    <row r="54" spans="6:9" ht="12.75">
      <c r="F54" s="263"/>
      <c r="G54" s="264"/>
      <c r="H54" s="264"/>
      <c r="I54" s="265"/>
    </row>
    <row r="55" spans="6:9" ht="12.75">
      <c r="F55" s="263"/>
      <c r="G55" s="264"/>
      <c r="H55" s="264"/>
      <c r="I55" s="265"/>
    </row>
    <row r="56" spans="6:9" ht="12.75">
      <c r="F56" s="263"/>
      <c r="G56" s="264"/>
      <c r="H56" s="264"/>
      <c r="I56" s="265"/>
    </row>
    <row r="57" spans="6:9" ht="12.75">
      <c r="F57" s="263"/>
      <c r="G57" s="264"/>
      <c r="H57" s="264"/>
      <c r="I57" s="265"/>
    </row>
    <row r="58" spans="6:9" ht="12.75">
      <c r="F58" s="263"/>
      <c r="G58" s="264"/>
      <c r="H58" s="264"/>
      <c r="I58" s="265"/>
    </row>
    <row r="59" spans="6:9" ht="12.75">
      <c r="F59" s="263"/>
      <c r="G59" s="264"/>
      <c r="H59" s="264"/>
      <c r="I59" s="265"/>
    </row>
    <row r="60" spans="6:9" ht="12.75">
      <c r="F60" s="263"/>
      <c r="G60" s="264"/>
      <c r="H60" s="264"/>
      <c r="I60" s="265"/>
    </row>
    <row r="61" spans="6:9" ht="12.75">
      <c r="F61" s="263"/>
      <c r="G61" s="264"/>
      <c r="H61" s="264"/>
      <c r="I61" s="265"/>
    </row>
    <row r="62" spans="6:9" ht="12.75">
      <c r="F62" s="263"/>
      <c r="G62" s="264"/>
      <c r="H62" s="264"/>
      <c r="I62" s="265"/>
    </row>
    <row r="63" spans="6:9" ht="12.75">
      <c r="F63" s="263"/>
      <c r="G63" s="264"/>
      <c r="H63" s="264"/>
      <c r="I63" s="265"/>
    </row>
    <row r="64" spans="6:9" ht="12.75">
      <c r="F64" s="263"/>
      <c r="G64" s="264"/>
      <c r="H64" s="264"/>
      <c r="I64" s="265"/>
    </row>
    <row r="65" spans="6:9" ht="12.75">
      <c r="F65" s="263"/>
      <c r="G65" s="264"/>
      <c r="H65" s="264"/>
      <c r="I65" s="265"/>
    </row>
    <row r="66" spans="6:9" ht="12.75">
      <c r="F66" s="263"/>
      <c r="G66" s="264"/>
      <c r="H66" s="264"/>
      <c r="I66" s="265"/>
    </row>
    <row r="67" spans="6:9" ht="12.75">
      <c r="F67" s="263"/>
      <c r="G67" s="264"/>
      <c r="H67" s="264"/>
      <c r="I67" s="265"/>
    </row>
    <row r="68" spans="6:9" ht="12.75">
      <c r="F68" s="263"/>
      <c r="G68" s="264"/>
      <c r="H68" s="264"/>
      <c r="I68" s="265"/>
    </row>
    <row r="69" spans="6:9" ht="12.75">
      <c r="F69" s="263"/>
      <c r="G69" s="264"/>
      <c r="H69" s="264"/>
      <c r="I69" s="265"/>
    </row>
    <row r="70" spans="6:9" ht="12.75">
      <c r="F70" s="263"/>
      <c r="G70" s="264"/>
      <c r="H70" s="264"/>
      <c r="I70" s="265"/>
    </row>
    <row r="71" spans="6:9" ht="12.75">
      <c r="F71" s="263"/>
      <c r="G71" s="264"/>
      <c r="H71" s="264"/>
      <c r="I71" s="265"/>
    </row>
    <row r="72" spans="6:9" ht="12.75">
      <c r="F72" s="263"/>
      <c r="G72" s="264"/>
      <c r="H72" s="264"/>
      <c r="I72" s="265"/>
    </row>
    <row r="73" spans="6:9" ht="12.75">
      <c r="F73" s="263"/>
      <c r="G73" s="264"/>
      <c r="H73" s="264"/>
      <c r="I73" s="265"/>
    </row>
    <row r="74" spans="6:9" ht="12.75">
      <c r="F74" s="263"/>
      <c r="G74" s="264"/>
      <c r="H74" s="264"/>
      <c r="I74" s="265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CB173"/>
  <sheetViews>
    <sheetView showGridLines="0" showZeros="0" zoomScaleSheetLayoutView="100" workbookViewId="0" topLeftCell="A13">
      <selection activeCell="E80" sqref="E80"/>
    </sheetView>
  </sheetViews>
  <sheetFormatPr defaultColWidth="9.125" defaultRowHeight="12.75"/>
  <cols>
    <col min="1" max="1" width="4.50390625" style="190" customWidth="1"/>
    <col min="2" max="2" width="11.50390625" style="190" customWidth="1"/>
    <col min="3" max="3" width="40.50390625" style="190" customWidth="1"/>
    <col min="4" max="4" width="5.50390625" style="190" customWidth="1"/>
    <col min="5" max="5" width="8.50390625" style="200" customWidth="1"/>
    <col min="6" max="6" width="9.875" style="190" customWidth="1"/>
    <col min="7" max="7" width="13.875" style="190" customWidth="1"/>
    <col min="8" max="8" width="11.625" style="190" hidden="1" customWidth="1"/>
    <col min="9" max="9" width="11.50390625" style="190" hidden="1" customWidth="1"/>
    <col min="10" max="10" width="11.00390625" style="190" customWidth="1"/>
    <col min="11" max="11" width="10.50390625" style="190" customWidth="1"/>
    <col min="12" max="12" width="75.50390625" style="190" customWidth="1"/>
    <col min="13" max="13" width="45.375" style="190" customWidth="1"/>
    <col min="14" max="16384" width="9.125" style="190" customWidth="1"/>
  </cols>
  <sheetData>
    <row r="1" spans="1:7" ht="15.6">
      <c r="A1" s="1590" t="s">
        <v>127</v>
      </c>
      <c r="B1" s="1590"/>
      <c r="C1" s="1590"/>
      <c r="D1" s="1590"/>
      <c r="E1" s="1590"/>
      <c r="F1" s="1590"/>
      <c r="G1" s="1590"/>
    </row>
    <row r="2" spans="2:7" ht="14.25" customHeight="1" thickBot="1">
      <c r="B2" s="191"/>
      <c r="C2" s="192"/>
      <c r="D2" s="192"/>
      <c r="E2" s="193"/>
      <c r="F2" s="192"/>
      <c r="G2" s="192"/>
    </row>
    <row r="3" spans="1:7" ht="13.8" thickTop="1">
      <c r="A3" s="1579" t="s">
        <v>2</v>
      </c>
      <c r="B3" s="1580"/>
      <c r="C3" s="102" t="s">
        <v>82</v>
      </c>
      <c r="D3" s="194"/>
      <c r="E3" s="195" t="s">
        <v>128</v>
      </c>
      <c r="F3" s="196" t="str">
        <f>'r01R'!H1</f>
        <v/>
      </c>
      <c r="G3" s="197"/>
    </row>
    <row r="4" spans="1:7" ht="13.8" thickBot="1">
      <c r="A4" s="1591" t="s">
        <v>79</v>
      </c>
      <c r="B4" s="1582"/>
      <c r="C4" s="96" t="s">
        <v>78</v>
      </c>
      <c r="D4" s="198"/>
      <c r="E4" s="1592" t="str">
        <f>'r01R'!G2</f>
        <v>aktualizovaný</v>
      </c>
      <c r="F4" s="1593"/>
      <c r="G4" s="1594"/>
    </row>
    <row r="5" spans="1:7" ht="13.8" thickTop="1">
      <c r="A5" s="199"/>
      <c r="G5" s="201"/>
    </row>
    <row r="6" spans="1:11" ht="27" customHeight="1">
      <c r="A6" s="202" t="s">
        <v>129</v>
      </c>
      <c r="B6" s="203" t="s">
        <v>130</v>
      </c>
      <c r="C6" s="203" t="s">
        <v>131</v>
      </c>
      <c r="D6" s="203" t="s">
        <v>132</v>
      </c>
      <c r="E6" s="204" t="s">
        <v>133</v>
      </c>
      <c r="F6" s="203" t="s">
        <v>134</v>
      </c>
      <c r="G6" s="205" t="s">
        <v>135</v>
      </c>
      <c r="H6" s="206" t="s">
        <v>136</v>
      </c>
      <c r="I6" s="206" t="s">
        <v>137</v>
      </c>
      <c r="J6" s="206" t="s">
        <v>138</v>
      </c>
      <c r="K6" s="206" t="s">
        <v>139</v>
      </c>
    </row>
    <row r="7" spans="1:15" ht="12.75">
      <c r="A7" s="207" t="s">
        <v>140</v>
      </c>
      <c r="B7" s="208" t="s">
        <v>141</v>
      </c>
      <c r="C7" s="209" t="s">
        <v>142</v>
      </c>
      <c r="D7" s="210"/>
      <c r="E7" s="211"/>
      <c r="F7" s="211"/>
      <c r="G7" s="212"/>
      <c r="H7" s="213"/>
      <c r="I7" s="214"/>
      <c r="J7" s="215"/>
      <c r="K7" s="216"/>
      <c r="O7" s="217">
        <v>1</v>
      </c>
    </row>
    <row r="8" spans="1:80" ht="12.75">
      <c r="A8" s="218">
        <v>1</v>
      </c>
      <c r="B8" s="219" t="s">
        <v>143</v>
      </c>
      <c r="C8" s="220" t="s">
        <v>144</v>
      </c>
      <c r="D8" s="221" t="s">
        <v>145</v>
      </c>
      <c r="E8" s="222">
        <v>39.278</v>
      </c>
      <c r="F8" s="222">
        <v>0</v>
      </c>
      <c r="G8" s="223">
        <f>E8*F8</f>
        <v>0</v>
      </c>
      <c r="H8" s="224">
        <v>0</v>
      </c>
      <c r="I8" s="225">
        <f>E8*H8</f>
        <v>0</v>
      </c>
      <c r="J8" s="224">
        <v>-0.26</v>
      </c>
      <c r="K8" s="225">
        <f>E8*J8</f>
        <v>-10.21228</v>
      </c>
      <c r="O8" s="217">
        <v>2</v>
      </c>
      <c r="AA8" s="190">
        <v>1</v>
      </c>
      <c r="AB8" s="190">
        <v>1</v>
      </c>
      <c r="AC8" s="190">
        <v>1</v>
      </c>
      <c r="AZ8" s="190">
        <v>1</v>
      </c>
      <c r="BA8" s="190">
        <f>IF(AZ8=1,G8,0)</f>
        <v>0</v>
      </c>
      <c r="BB8" s="190">
        <f>IF(AZ8=2,G8,0)</f>
        <v>0</v>
      </c>
      <c r="BC8" s="190">
        <f>IF(AZ8=3,G8,0)</f>
        <v>0</v>
      </c>
      <c r="BD8" s="190">
        <f>IF(AZ8=4,G8,0)</f>
        <v>0</v>
      </c>
      <c r="BE8" s="190">
        <f>IF(AZ8=5,G8,0)</f>
        <v>0</v>
      </c>
      <c r="CA8" s="217">
        <v>1</v>
      </c>
      <c r="CB8" s="217">
        <v>1</v>
      </c>
    </row>
    <row r="9" spans="1:15" ht="12.75">
      <c r="A9" s="226"/>
      <c r="B9" s="227"/>
      <c r="C9" s="1588" t="s">
        <v>146</v>
      </c>
      <c r="D9" s="1589"/>
      <c r="E9" s="228">
        <v>19.278</v>
      </c>
      <c r="F9" s="229"/>
      <c r="G9" s="230"/>
      <c r="H9" s="231"/>
      <c r="I9" s="232"/>
      <c r="J9" s="233"/>
      <c r="K9" s="232"/>
      <c r="M9" s="234" t="s">
        <v>146</v>
      </c>
      <c r="O9" s="217"/>
    </row>
    <row r="10" spans="1:15" ht="12.75">
      <c r="A10" s="226"/>
      <c r="B10" s="227"/>
      <c r="C10" s="1588" t="s">
        <v>147</v>
      </c>
      <c r="D10" s="1589"/>
      <c r="E10" s="228">
        <v>20</v>
      </c>
      <c r="F10" s="229"/>
      <c r="G10" s="230"/>
      <c r="H10" s="231"/>
      <c r="I10" s="232"/>
      <c r="J10" s="233"/>
      <c r="K10" s="232"/>
      <c r="M10" s="234" t="s">
        <v>147</v>
      </c>
      <c r="O10" s="217"/>
    </row>
    <row r="11" spans="1:80" ht="12.75">
      <c r="A11" s="218">
        <v>2</v>
      </c>
      <c r="B11" s="219" t="s">
        <v>148</v>
      </c>
      <c r="C11" s="220" t="s">
        <v>149</v>
      </c>
      <c r="D11" s="221" t="s">
        <v>145</v>
      </c>
      <c r="E11" s="222">
        <v>123.352</v>
      </c>
      <c r="F11" s="222">
        <v>0</v>
      </c>
      <c r="G11" s="223">
        <f>E11*F11</f>
        <v>0</v>
      </c>
      <c r="H11" s="224">
        <v>0</v>
      </c>
      <c r="I11" s="225">
        <f>E11*H11</f>
        <v>0</v>
      </c>
      <c r="J11" s="224">
        <v>-0.33</v>
      </c>
      <c r="K11" s="225">
        <f>E11*J11</f>
        <v>-40.706160000000004</v>
      </c>
      <c r="O11" s="217">
        <v>2</v>
      </c>
      <c r="AA11" s="190">
        <v>1</v>
      </c>
      <c r="AB11" s="190">
        <v>1</v>
      </c>
      <c r="AC11" s="190">
        <v>1</v>
      </c>
      <c r="AZ11" s="190">
        <v>1</v>
      </c>
      <c r="BA11" s="190">
        <f>IF(AZ11=1,G11,0)</f>
        <v>0</v>
      </c>
      <c r="BB11" s="190">
        <f>IF(AZ11=2,G11,0)</f>
        <v>0</v>
      </c>
      <c r="BC11" s="190">
        <f>IF(AZ11=3,G11,0)</f>
        <v>0</v>
      </c>
      <c r="BD11" s="190">
        <f>IF(AZ11=4,G11,0)</f>
        <v>0</v>
      </c>
      <c r="BE11" s="190">
        <f>IF(AZ11=5,G11,0)</f>
        <v>0</v>
      </c>
      <c r="CA11" s="217">
        <v>1</v>
      </c>
      <c r="CB11" s="217">
        <v>1</v>
      </c>
    </row>
    <row r="12" spans="1:15" ht="12.75">
      <c r="A12" s="226"/>
      <c r="B12" s="227"/>
      <c r="C12" s="1588" t="s">
        <v>150</v>
      </c>
      <c r="D12" s="1589"/>
      <c r="E12" s="228">
        <v>66.734</v>
      </c>
      <c r="F12" s="229"/>
      <c r="G12" s="230"/>
      <c r="H12" s="231"/>
      <c r="I12" s="232"/>
      <c r="J12" s="233"/>
      <c r="K12" s="232"/>
      <c r="M12" s="234" t="s">
        <v>150</v>
      </c>
      <c r="O12" s="217"/>
    </row>
    <row r="13" spans="1:15" ht="12.75">
      <c r="A13" s="226"/>
      <c r="B13" s="227"/>
      <c r="C13" s="1588" t="s">
        <v>151</v>
      </c>
      <c r="D13" s="1589"/>
      <c r="E13" s="228">
        <v>36.618</v>
      </c>
      <c r="F13" s="229"/>
      <c r="G13" s="230"/>
      <c r="H13" s="231"/>
      <c r="I13" s="232"/>
      <c r="J13" s="233"/>
      <c r="K13" s="232"/>
      <c r="M13" s="234" t="s">
        <v>151</v>
      </c>
      <c r="O13" s="217"/>
    </row>
    <row r="14" spans="1:15" ht="12.75">
      <c r="A14" s="226"/>
      <c r="B14" s="227"/>
      <c r="C14" s="1588" t="s">
        <v>147</v>
      </c>
      <c r="D14" s="1589"/>
      <c r="E14" s="228">
        <v>20</v>
      </c>
      <c r="F14" s="229"/>
      <c r="G14" s="230"/>
      <c r="H14" s="231"/>
      <c r="I14" s="232"/>
      <c r="J14" s="233"/>
      <c r="K14" s="232"/>
      <c r="M14" s="234" t="s">
        <v>147</v>
      </c>
      <c r="O14" s="217"/>
    </row>
    <row r="15" spans="1:80" ht="12.75">
      <c r="A15" s="218">
        <v>3</v>
      </c>
      <c r="B15" s="219" t="s">
        <v>152</v>
      </c>
      <c r="C15" s="220" t="s">
        <v>153</v>
      </c>
      <c r="D15" s="221" t="s">
        <v>154</v>
      </c>
      <c r="E15" s="222">
        <v>30</v>
      </c>
      <c r="F15" s="222">
        <v>0</v>
      </c>
      <c r="G15" s="223">
        <f>E15*F15</f>
        <v>0</v>
      </c>
      <c r="H15" s="224">
        <v>0</v>
      </c>
      <c r="I15" s="225">
        <f>E15*H15</f>
        <v>0</v>
      </c>
      <c r="J15" s="224">
        <v>0</v>
      </c>
      <c r="K15" s="225">
        <f>E15*J15</f>
        <v>0</v>
      </c>
      <c r="O15" s="217">
        <v>2</v>
      </c>
      <c r="AA15" s="190">
        <v>1</v>
      </c>
      <c r="AB15" s="190">
        <v>1</v>
      </c>
      <c r="AC15" s="190">
        <v>1</v>
      </c>
      <c r="AZ15" s="190">
        <v>1</v>
      </c>
      <c r="BA15" s="190">
        <f>IF(AZ15=1,G15,0)</f>
        <v>0</v>
      </c>
      <c r="BB15" s="190">
        <f>IF(AZ15=2,G15,0)</f>
        <v>0</v>
      </c>
      <c r="BC15" s="190">
        <f>IF(AZ15=3,G15,0)</f>
        <v>0</v>
      </c>
      <c r="BD15" s="190">
        <f>IF(AZ15=4,G15,0)</f>
        <v>0</v>
      </c>
      <c r="BE15" s="190">
        <f>IF(AZ15=5,G15,0)</f>
        <v>0</v>
      </c>
      <c r="CA15" s="217">
        <v>1</v>
      </c>
      <c r="CB15" s="217">
        <v>1</v>
      </c>
    </row>
    <row r="16" spans="1:15" ht="12.75">
      <c r="A16" s="226"/>
      <c r="B16" s="227"/>
      <c r="C16" s="1588" t="s">
        <v>155</v>
      </c>
      <c r="D16" s="1589"/>
      <c r="E16" s="228">
        <v>30</v>
      </c>
      <c r="F16" s="229"/>
      <c r="G16" s="230"/>
      <c r="H16" s="231"/>
      <c r="I16" s="232"/>
      <c r="J16" s="233"/>
      <c r="K16" s="232"/>
      <c r="M16" s="234" t="s">
        <v>155</v>
      </c>
      <c r="O16" s="217"/>
    </row>
    <row r="17" spans="1:80" ht="12.75">
      <c r="A17" s="218">
        <v>4</v>
      </c>
      <c r="B17" s="219" t="s">
        <v>156</v>
      </c>
      <c r="C17" s="220" t="s">
        <v>157</v>
      </c>
      <c r="D17" s="221" t="s">
        <v>154</v>
      </c>
      <c r="E17" s="222">
        <v>2.82</v>
      </c>
      <c r="F17" s="222">
        <v>0</v>
      </c>
      <c r="G17" s="223">
        <f>E17*F17</f>
        <v>0</v>
      </c>
      <c r="H17" s="224">
        <v>0</v>
      </c>
      <c r="I17" s="225">
        <f>E17*H17</f>
        <v>0</v>
      </c>
      <c r="J17" s="224">
        <v>0</v>
      </c>
      <c r="K17" s="225">
        <f>E17*J17</f>
        <v>0</v>
      </c>
      <c r="O17" s="217">
        <v>2</v>
      </c>
      <c r="AA17" s="190">
        <v>1</v>
      </c>
      <c r="AB17" s="190">
        <v>0</v>
      </c>
      <c r="AC17" s="190">
        <v>0</v>
      </c>
      <c r="AZ17" s="190">
        <v>1</v>
      </c>
      <c r="BA17" s="190">
        <f>IF(AZ17=1,G17,0)</f>
        <v>0</v>
      </c>
      <c r="BB17" s="190">
        <f>IF(AZ17=2,G17,0)</f>
        <v>0</v>
      </c>
      <c r="BC17" s="190">
        <f>IF(AZ17=3,G17,0)</f>
        <v>0</v>
      </c>
      <c r="BD17" s="190">
        <f>IF(AZ17=4,G17,0)</f>
        <v>0</v>
      </c>
      <c r="BE17" s="190">
        <f>IF(AZ17=5,G17,0)</f>
        <v>0</v>
      </c>
      <c r="CA17" s="217">
        <v>1</v>
      </c>
      <c r="CB17" s="217">
        <v>0</v>
      </c>
    </row>
    <row r="18" spans="1:15" ht="12.75">
      <c r="A18" s="226"/>
      <c r="B18" s="235"/>
      <c r="C18" s="1595"/>
      <c r="D18" s="1596"/>
      <c r="E18" s="1596"/>
      <c r="F18" s="1596"/>
      <c r="G18" s="1597"/>
      <c r="I18" s="232"/>
      <c r="K18" s="232"/>
      <c r="L18" s="234"/>
      <c r="O18" s="217">
        <v>3</v>
      </c>
    </row>
    <row r="19" spans="1:15" ht="12.75">
      <c r="A19" s="226"/>
      <c r="B19" s="227"/>
      <c r="C19" s="1588" t="s">
        <v>158</v>
      </c>
      <c r="D19" s="1589"/>
      <c r="E19" s="228">
        <v>2.82</v>
      </c>
      <c r="F19" s="229"/>
      <c r="G19" s="230"/>
      <c r="H19" s="231"/>
      <c r="I19" s="232"/>
      <c r="J19" s="233"/>
      <c r="K19" s="232"/>
      <c r="M19" s="234" t="s">
        <v>158</v>
      </c>
      <c r="O19" s="217"/>
    </row>
    <row r="20" spans="1:80" ht="20.4">
      <c r="A20" s="218">
        <v>5</v>
      </c>
      <c r="B20" s="219" t="s">
        <v>159</v>
      </c>
      <c r="C20" s="220" t="s">
        <v>160</v>
      </c>
      <c r="D20" s="221" t="s">
        <v>154</v>
      </c>
      <c r="E20" s="222">
        <v>2.82</v>
      </c>
      <c r="F20" s="222">
        <v>0</v>
      </c>
      <c r="G20" s="223">
        <f>E20*F20</f>
        <v>0</v>
      </c>
      <c r="H20" s="224">
        <v>0</v>
      </c>
      <c r="I20" s="225">
        <f>E20*H20</f>
        <v>0</v>
      </c>
      <c r="J20" s="224">
        <v>0</v>
      </c>
      <c r="K20" s="225">
        <f>E20*J20</f>
        <v>0</v>
      </c>
      <c r="O20" s="217">
        <v>2</v>
      </c>
      <c r="AA20" s="190">
        <v>1</v>
      </c>
      <c r="AB20" s="190">
        <v>1</v>
      </c>
      <c r="AC20" s="190">
        <v>1</v>
      </c>
      <c r="AZ20" s="190">
        <v>1</v>
      </c>
      <c r="BA20" s="190">
        <f>IF(AZ20=1,G20,0)</f>
        <v>0</v>
      </c>
      <c r="BB20" s="190">
        <f>IF(AZ20=2,G20,0)</f>
        <v>0</v>
      </c>
      <c r="BC20" s="190">
        <f>IF(AZ20=3,G20,0)</f>
        <v>0</v>
      </c>
      <c r="BD20" s="190">
        <f>IF(AZ20=4,G20,0)</f>
        <v>0</v>
      </c>
      <c r="BE20" s="190">
        <f>IF(AZ20=5,G20,0)</f>
        <v>0</v>
      </c>
      <c r="CA20" s="217">
        <v>1</v>
      </c>
      <c r="CB20" s="217">
        <v>1</v>
      </c>
    </row>
    <row r="21" spans="1:15" ht="12.75">
      <c r="A21" s="226"/>
      <c r="B21" s="227"/>
      <c r="C21" s="1588" t="s">
        <v>161</v>
      </c>
      <c r="D21" s="1589"/>
      <c r="E21" s="228">
        <v>2.82</v>
      </c>
      <c r="F21" s="229"/>
      <c r="G21" s="230"/>
      <c r="H21" s="231"/>
      <c r="I21" s="232"/>
      <c r="J21" s="233"/>
      <c r="K21" s="232"/>
      <c r="M21" s="234" t="s">
        <v>161</v>
      </c>
      <c r="O21" s="217"/>
    </row>
    <row r="22" spans="1:80" ht="12.75">
      <c r="A22" s="218">
        <v>6</v>
      </c>
      <c r="B22" s="219" t="s">
        <v>162</v>
      </c>
      <c r="C22" s="220" t="s">
        <v>163</v>
      </c>
      <c r="D22" s="221" t="s">
        <v>154</v>
      </c>
      <c r="E22" s="222">
        <v>2.82</v>
      </c>
      <c r="F22" s="222">
        <v>0</v>
      </c>
      <c r="G22" s="223">
        <f>E22*F22</f>
        <v>0</v>
      </c>
      <c r="H22" s="224">
        <v>0</v>
      </c>
      <c r="I22" s="225">
        <f>E22*H22</f>
        <v>0</v>
      </c>
      <c r="J22" s="224">
        <v>0</v>
      </c>
      <c r="K22" s="225">
        <f>E22*J22</f>
        <v>0</v>
      </c>
      <c r="O22" s="217">
        <v>2</v>
      </c>
      <c r="AA22" s="190">
        <v>1</v>
      </c>
      <c r="AB22" s="190">
        <v>1</v>
      </c>
      <c r="AC22" s="190">
        <v>1</v>
      </c>
      <c r="AZ22" s="190">
        <v>1</v>
      </c>
      <c r="BA22" s="190">
        <f>IF(AZ22=1,G22,0)</f>
        <v>0</v>
      </c>
      <c r="BB22" s="190">
        <f>IF(AZ22=2,G22,0)</f>
        <v>0</v>
      </c>
      <c r="BC22" s="190">
        <f>IF(AZ22=3,G22,0)</f>
        <v>0</v>
      </c>
      <c r="BD22" s="190">
        <f>IF(AZ22=4,G22,0)</f>
        <v>0</v>
      </c>
      <c r="BE22" s="190">
        <f>IF(AZ22=5,G22,0)</f>
        <v>0</v>
      </c>
      <c r="CA22" s="217">
        <v>1</v>
      </c>
      <c r="CB22" s="217">
        <v>1</v>
      </c>
    </row>
    <row r="23" spans="1:80" ht="12.75">
      <c r="A23" s="218">
        <v>7</v>
      </c>
      <c r="B23" s="219" t="s">
        <v>164</v>
      </c>
      <c r="C23" s="220" t="s">
        <v>165</v>
      </c>
      <c r="D23" s="221" t="s">
        <v>166</v>
      </c>
      <c r="E23" s="222">
        <v>5.922</v>
      </c>
      <c r="F23" s="222">
        <v>0</v>
      </c>
      <c r="G23" s="223">
        <f>E23*F23</f>
        <v>0</v>
      </c>
      <c r="H23" s="224">
        <v>0</v>
      </c>
      <c r="I23" s="225">
        <f>E23*H23</f>
        <v>0</v>
      </c>
      <c r="J23" s="224">
        <v>0</v>
      </c>
      <c r="K23" s="225">
        <f>E23*J23</f>
        <v>0</v>
      </c>
      <c r="O23" s="217">
        <v>2</v>
      </c>
      <c r="AA23" s="190">
        <v>1</v>
      </c>
      <c r="AB23" s="190">
        <v>1</v>
      </c>
      <c r="AC23" s="190">
        <v>1</v>
      </c>
      <c r="AZ23" s="190">
        <v>1</v>
      </c>
      <c r="BA23" s="190">
        <f>IF(AZ23=1,G23,0)</f>
        <v>0</v>
      </c>
      <c r="BB23" s="190">
        <f>IF(AZ23=2,G23,0)</f>
        <v>0</v>
      </c>
      <c r="BC23" s="190">
        <f>IF(AZ23=3,G23,0)</f>
        <v>0</v>
      </c>
      <c r="BD23" s="190">
        <f>IF(AZ23=4,G23,0)</f>
        <v>0</v>
      </c>
      <c r="BE23" s="190">
        <f>IF(AZ23=5,G23,0)</f>
        <v>0</v>
      </c>
      <c r="CA23" s="217">
        <v>1</v>
      </c>
      <c r="CB23" s="217">
        <v>1</v>
      </c>
    </row>
    <row r="24" spans="1:15" ht="12.75">
      <c r="A24" s="226"/>
      <c r="B24" s="235"/>
      <c r="C24" s="1595"/>
      <c r="D24" s="1596"/>
      <c r="E24" s="1596"/>
      <c r="F24" s="1596"/>
      <c r="G24" s="1597"/>
      <c r="I24" s="232"/>
      <c r="K24" s="232"/>
      <c r="L24" s="234"/>
      <c r="O24" s="217">
        <v>3</v>
      </c>
    </row>
    <row r="25" spans="1:15" ht="12.75">
      <c r="A25" s="226"/>
      <c r="B25" s="227"/>
      <c r="C25" s="1588" t="s">
        <v>167</v>
      </c>
      <c r="D25" s="1589"/>
      <c r="E25" s="228">
        <v>5.922</v>
      </c>
      <c r="F25" s="229"/>
      <c r="G25" s="230"/>
      <c r="H25" s="231"/>
      <c r="I25" s="232"/>
      <c r="J25" s="233"/>
      <c r="K25" s="232"/>
      <c r="M25" s="234" t="s">
        <v>167</v>
      </c>
      <c r="O25" s="217"/>
    </row>
    <row r="26" spans="1:80" ht="12.75">
      <c r="A26" s="218">
        <v>8</v>
      </c>
      <c r="B26" s="219" t="s">
        <v>168</v>
      </c>
      <c r="C26" s="220" t="s">
        <v>169</v>
      </c>
      <c r="D26" s="221" t="s">
        <v>154</v>
      </c>
      <c r="E26" s="222">
        <v>22.768</v>
      </c>
      <c r="F26" s="222">
        <v>0</v>
      </c>
      <c r="G26" s="223">
        <f>E26*F26</f>
        <v>0</v>
      </c>
      <c r="H26" s="224">
        <v>0</v>
      </c>
      <c r="I26" s="225">
        <f>E26*H26</f>
        <v>0</v>
      </c>
      <c r="J26" s="224">
        <v>0</v>
      </c>
      <c r="K26" s="225">
        <f>E26*J26</f>
        <v>0</v>
      </c>
      <c r="O26" s="217">
        <v>2</v>
      </c>
      <c r="AA26" s="190">
        <v>1</v>
      </c>
      <c r="AB26" s="190">
        <v>1</v>
      </c>
      <c r="AC26" s="190">
        <v>1</v>
      </c>
      <c r="AZ26" s="190">
        <v>1</v>
      </c>
      <c r="BA26" s="190">
        <f>IF(AZ26=1,G26,0)</f>
        <v>0</v>
      </c>
      <c r="BB26" s="190">
        <f>IF(AZ26=2,G26,0)</f>
        <v>0</v>
      </c>
      <c r="BC26" s="190">
        <f>IF(AZ26=3,G26,0)</f>
        <v>0</v>
      </c>
      <c r="BD26" s="190">
        <f>IF(AZ26=4,G26,0)</f>
        <v>0</v>
      </c>
      <c r="BE26" s="190">
        <f>IF(AZ26=5,G26,0)</f>
        <v>0</v>
      </c>
      <c r="CA26" s="217">
        <v>1</v>
      </c>
      <c r="CB26" s="217">
        <v>1</v>
      </c>
    </row>
    <row r="27" spans="1:15" ht="12.75">
      <c r="A27" s="226"/>
      <c r="B27" s="227"/>
      <c r="C27" s="1588" t="s">
        <v>170</v>
      </c>
      <c r="D27" s="1589"/>
      <c r="E27" s="228">
        <v>20.08</v>
      </c>
      <c r="F27" s="229"/>
      <c r="G27" s="230"/>
      <c r="H27" s="231"/>
      <c r="I27" s="232"/>
      <c r="J27" s="233"/>
      <c r="K27" s="232"/>
      <c r="M27" s="234" t="s">
        <v>170</v>
      </c>
      <c r="O27" s="217"/>
    </row>
    <row r="28" spans="1:15" ht="12.75">
      <c r="A28" s="226"/>
      <c r="B28" s="227"/>
      <c r="C28" s="1588" t="s">
        <v>171</v>
      </c>
      <c r="D28" s="1589"/>
      <c r="E28" s="228">
        <v>2.688</v>
      </c>
      <c r="F28" s="229"/>
      <c r="G28" s="230"/>
      <c r="H28" s="231"/>
      <c r="I28" s="232"/>
      <c r="J28" s="233"/>
      <c r="K28" s="232"/>
      <c r="M28" s="234" t="s">
        <v>171</v>
      </c>
      <c r="O28" s="217"/>
    </row>
    <row r="29" spans="1:80" ht="12.75">
      <c r="A29" s="218">
        <v>9</v>
      </c>
      <c r="B29" s="219" t="s">
        <v>172</v>
      </c>
      <c r="C29" s="220" t="s">
        <v>173</v>
      </c>
      <c r="D29" s="221" t="s">
        <v>145</v>
      </c>
      <c r="E29" s="222">
        <v>2.82</v>
      </c>
      <c r="F29" s="222">
        <v>0</v>
      </c>
      <c r="G29" s="223">
        <f>E29*F29</f>
        <v>0</v>
      </c>
      <c r="H29" s="224">
        <v>0</v>
      </c>
      <c r="I29" s="225">
        <f>E29*H29</f>
        <v>0</v>
      </c>
      <c r="J29" s="224">
        <v>0</v>
      </c>
      <c r="K29" s="225">
        <f>E29*J29</f>
        <v>0</v>
      </c>
      <c r="O29" s="217">
        <v>2</v>
      </c>
      <c r="AA29" s="190">
        <v>1</v>
      </c>
      <c r="AB29" s="190">
        <v>1</v>
      </c>
      <c r="AC29" s="190">
        <v>1</v>
      </c>
      <c r="AZ29" s="190">
        <v>1</v>
      </c>
      <c r="BA29" s="190">
        <f>IF(AZ29=1,G29,0)</f>
        <v>0</v>
      </c>
      <c r="BB29" s="190">
        <f>IF(AZ29=2,G29,0)</f>
        <v>0</v>
      </c>
      <c r="BC29" s="190">
        <f>IF(AZ29=3,G29,0)</f>
        <v>0</v>
      </c>
      <c r="BD29" s="190">
        <f>IF(AZ29=4,G29,0)</f>
        <v>0</v>
      </c>
      <c r="BE29" s="190">
        <f>IF(AZ29=5,G29,0)</f>
        <v>0</v>
      </c>
      <c r="CA29" s="217">
        <v>1</v>
      </c>
      <c r="CB29" s="217">
        <v>1</v>
      </c>
    </row>
    <row r="30" spans="1:15" ht="12.75">
      <c r="A30" s="226"/>
      <c r="B30" s="227"/>
      <c r="C30" s="1588" t="s">
        <v>174</v>
      </c>
      <c r="D30" s="1589"/>
      <c r="E30" s="228">
        <v>2.82</v>
      </c>
      <c r="F30" s="229"/>
      <c r="G30" s="230"/>
      <c r="H30" s="231"/>
      <c r="I30" s="232"/>
      <c r="J30" s="233"/>
      <c r="K30" s="232"/>
      <c r="M30" s="234" t="s">
        <v>174</v>
      </c>
      <c r="O30" s="217"/>
    </row>
    <row r="31" spans="1:57" ht="12.75">
      <c r="A31" s="236"/>
      <c r="B31" s="237" t="s">
        <v>175</v>
      </c>
      <c r="C31" s="238" t="s">
        <v>176</v>
      </c>
      <c r="D31" s="239"/>
      <c r="E31" s="240"/>
      <c r="F31" s="241"/>
      <c r="G31" s="242">
        <f>SUM(G7:G30)</f>
        <v>0</v>
      </c>
      <c r="H31" s="243"/>
      <c r="I31" s="244">
        <f>SUM(I7:I30)</f>
        <v>0</v>
      </c>
      <c r="J31" s="243"/>
      <c r="K31" s="244">
        <f>SUM(K7:K30)</f>
        <v>-50.918440000000004</v>
      </c>
      <c r="O31" s="217">
        <v>4</v>
      </c>
      <c r="BA31" s="245">
        <f>SUM(BA7:BA30)</f>
        <v>0</v>
      </c>
      <c r="BB31" s="245">
        <f>SUM(BB7:BB30)</f>
        <v>0</v>
      </c>
      <c r="BC31" s="245">
        <f>SUM(BC7:BC30)</f>
        <v>0</v>
      </c>
      <c r="BD31" s="245">
        <f>SUM(BD7:BD30)</f>
        <v>0</v>
      </c>
      <c r="BE31" s="245">
        <f>SUM(BE7:BE30)</f>
        <v>0</v>
      </c>
    </row>
    <row r="32" spans="1:15" ht="12.75">
      <c r="A32" s="207" t="s">
        <v>140</v>
      </c>
      <c r="B32" s="208" t="s">
        <v>177</v>
      </c>
      <c r="C32" s="209" t="s">
        <v>178</v>
      </c>
      <c r="D32" s="210"/>
      <c r="E32" s="211"/>
      <c r="F32" s="211"/>
      <c r="G32" s="212"/>
      <c r="H32" s="213"/>
      <c r="I32" s="214"/>
      <c r="J32" s="215"/>
      <c r="K32" s="216"/>
      <c r="O32" s="217">
        <v>1</v>
      </c>
    </row>
    <row r="33" spans="1:80" ht="12.75">
      <c r="A33" s="218">
        <v>10</v>
      </c>
      <c r="B33" s="219" t="s">
        <v>179</v>
      </c>
      <c r="C33" s="220" t="s">
        <v>180</v>
      </c>
      <c r="D33" s="221" t="s">
        <v>181</v>
      </c>
      <c r="E33" s="222">
        <v>1</v>
      </c>
      <c r="F33" s="222">
        <v>0</v>
      </c>
      <c r="G33" s="223">
        <f>E33*F33</f>
        <v>0</v>
      </c>
      <c r="H33" s="224">
        <v>0</v>
      </c>
      <c r="I33" s="225">
        <f>E33*H33</f>
        <v>0</v>
      </c>
      <c r="J33" s="224">
        <v>0</v>
      </c>
      <c r="K33" s="225">
        <f>E33*J33</f>
        <v>0</v>
      </c>
      <c r="O33" s="217">
        <v>2</v>
      </c>
      <c r="AA33" s="190">
        <v>1</v>
      </c>
      <c r="AB33" s="190">
        <v>1</v>
      </c>
      <c r="AC33" s="190">
        <v>1</v>
      </c>
      <c r="AZ33" s="190">
        <v>1</v>
      </c>
      <c r="BA33" s="190">
        <f>IF(AZ33=1,G33,0)</f>
        <v>0</v>
      </c>
      <c r="BB33" s="190">
        <f>IF(AZ33=2,G33,0)</f>
        <v>0</v>
      </c>
      <c r="BC33" s="190">
        <f>IF(AZ33=3,G33,0)</f>
        <v>0</v>
      </c>
      <c r="BD33" s="190">
        <f>IF(AZ33=4,G33,0)</f>
        <v>0</v>
      </c>
      <c r="BE33" s="190">
        <f>IF(AZ33=5,G33,0)</f>
        <v>0</v>
      </c>
      <c r="CA33" s="217">
        <v>1</v>
      </c>
      <c r="CB33" s="217">
        <v>1</v>
      </c>
    </row>
    <row r="34" spans="1:57" ht="12.75">
      <c r="A34" s="236"/>
      <c r="B34" s="237" t="s">
        <v>175</v>
      </c>
      <c r="C34" s="238" t="s">
        <v>182</v>
      </c>
      <c r="D34" s="239"/>
      <c r="E34" s="240"/>
      <c r="F34" s="241"/>
      <c r="G34" s="242">
        <f>SUM(G32:G33)</f>
        <v>0</v>
      </c>
      <c r="H34" s="243"/>
      <c r="I34" s="244">
        <f>SUM(I32:I33)</f>
        <v>0</v>
      </c>
      <c r="J34" s="243"/>
      <c r="K34" s="244">
        <f>SUM(K32:K33)</f>
        <v>0</v>
      </c>
      <c r="O34" s="217">
        <v>4</v>
      </c>
      <c r="BA34" s="245">
        <f>SUM(BA32:BA33)</f>
        <v>0</v>
      </c>
      <c r="BB34" s="245">
        <f>SUM(BB32:BB33)</f>
        <v>0</v>
      </c>
      <c r="BC34" s="245">
        <f>SUM(BC32:BC33)</f>
        <v>0</v>
      </c>
      <c r="BD34" s="245">
        <f>SUM(BD32:BD33)</f>
        <v>0</v>
      </c>
      <c r="BE34" s="245">
        <f>SUM(BE32:BE33)</f>
        <v>0</v>
      </c>
    </row>
    <row r="35" spans="1:15" ht="12.75">
      <c r="A35" s="207" t="s">
        <v>140</v>
      </c>
      <c r="B35" s="208" t="s">
        <v>183</v>
      </c>
      <c r="C35" s="209" t="s">
        <v>184</v>
      </c>
      <c r="D35" s="210"/>
      <c r="E35" s="211"/>
      <c r="F35" s="211"/>
      <c r="G35" s="212"/>
      <c r="H35" s="213"/>
      <c r="I35" s="214"/>
      <c r="J35" s="215"/>
      <c r="K35" s="216"/>
      <c r="O35" s="217">
        <v>1</v>
      </c>
    </row>
    <row r="36" spans="1:80" ht="12.75">
      <c r="A36" s="218">
        <v>11</v>
      </c>
      <c r="B36" s="219" t="s">
        <v>185</v>
      </c>
      <c r="C36" s="220" t="s">
        <v>186</v>
      </c>
      <c r="D36" s="221" t="s">
        <v>154</v>
      </c>
      <c r="E36" s="222">
        <v>2.82</v>
      </c>
      <c r="F36" s="222"/>
      <c r="G36" s="223">
        <f>E36*F36</f>
        <v>0</v>
      </c>
      <c r="H36" s="224">
        <v>2.525</v>
      </c>
      <c r="I36" s="225">
        <f>E36*H36</f>
        <v>7.120499999999999</v>
      </c>
      <c r="J36" s="224">
        <v>0</v>
      </c>
      <c r="K36" s="225">
        <f>E36*J36</f>
        <v>0</v>
      </c>
      <c r="O36" s="217">
        <v>2</v>
      </c>
      <c r="AA36" s="190">
        <v>1</v>
      </c>
      <c r="AB36" s="190">
        <v>1</v>
      </c>
      <c r="AC36" s="190">
        <v>1</v>
      </c>
      <c r="AZ36" s="190">
        <v>1</v>
      </c>
      <c r="BA36" s="190">
        <f>IF(AZ36=1,G36,0)</f>
        <v>0</v>
      </c>
      <c r="BB36" s="190">
        <f>IF(AZ36=2,G36,0)</f>
        <v>0</v>
      </c>
      <c r="BC36" s="190">
        <f>IF(AZ36=3,G36,0)</f>
        <v>0</v>
      </c>
      <c r="BD36" s="190">
        <f>IF(AZ36=4,G36,0)</f>
        <v>0</v>
      </c>
      <c r="BE36" s="190">
        <f>IF(AZ36=5,G36,0)</f>
        <v>0</v>
      </c>
      <c r="CA36" s="217">
        <v>1</v>
      </c>
      <c r="CB36" s="217">
        <v>1</v>
      </c>
    </row>
    <row r="37" spans="1:15" ht="12.75">
      <c r="A37" s="226"/>
      <c r="B37" s="227"/>
      <c r="C37" s="1588" t="s">
        <v>158</v>
      </c>
      <c r="D37" s="1589"/>
      <c r="E37" s="228">
        <v>2.82</v>
      </c>
      <c r="F37" s="229"/>
      <c r="G37" s="230"/>
      <c r="H37" s="231"/>
      <c r="I37" s="232"/>
      <c r="J37" s="233"/>
      <c r="K37" s="232"/>
      <c r="M37" s="234" t="s">
        <v>158</v>
      </c>
      <c r="O37" s="217"/>
    </row>
    <row r="38" spans="1:57" ht="12.75">
      <c r="A38" s="236"/>
      <c r="B38" s="237" t="s">
        <v>175</v>
      </c>
      <c r="C38" s="238" t="s">
        <v>187</v>
      </c>
      <c r="D38" s="239"/>
      <c r="E38" s="240"/>
      <c r="F38" s="241"/>
      <c r="G38" s="242">
        <f>SUM(G35:G37)</f>
        <v>0</v>
      </c>
      <c r="H38" s="243"/>
      <c r="I38" s="244">
        <f>SUM(I35:I37)</f>
        <v>7.120499999999999</v>
      </c>
      <c r="J38" s="243"/>
      <c r="K38" s="244">
        <f>SUM(K35:K37)</f>
        <v>0</v>
      </c>
      <c r="O38" s="217">
        <v>4</v>
      </c>
      <c r="BA38" s="245">
        <f>SUM(BA35:BA37)</f>
        <v>0</v>
      </c>
      <c r="BB38" s="245">
        <f>SUM(BB35:BB37)</f>
        <v>0</v>
      </c>
      <c r="BC38" s="245">
        <f>SUM(BC35:BC37)</f>
        <v>0</v>
      </c>
      <c r="BD38" s="245">
        <f>SUM(BD35:BD37)</f>
        <v>0</v>
      </c>
      <c r="BE38" s="245">
        <f>SUM(BE35:BE37)</f>
        <v>0</v>
      </c>
    </row>
    <row r="39" spans="1:15" ht="12.75">
      <c r="A39" s="207" t="s">
        <v>140</v>
      </c>
      <c r="B39" s="208" t="s">
        <v>188</v>
      </c>
      <c r="C39" s="209" t="s">
        <v>189</v>
      </c>
      <c r="D39" s="210"/>
      <c r="E39" s="211"/>
      <c r="F39" s="211"/>
      <c r="G39" s="212"/>
      <c r="H39" s="213"/>
      <c r="I39" s="214"/>
      <c r="J39" s="215"/>
      <c r="K39" s="216"/>
      <c r="O39" s="217">
        <v>1</v>
      </c>
    </row>
    <row r="40" spans="1:80" ht="20.4">
      <c r="A40" s="218">
        <v>12</v>
      </c>
      <c r="B40" s="219" t="s">
        <v>190</v>
      </c>
      <c r="C40" s="220" t="s">
        <v>191</v>
      </c>
      <c r="D40" s="221" t="s">
        <v>145</v>
      </c>
      <c r="E40" s="222">
        <v>3.384</v>
      </c>
      <c r="F40" s="222"/>
      <c r="G40" s="223">
        <f>E40*F40</f>
        <v>0</v>
      </c>
      <c r="H40" s="224">
        <v>0.30875</v>
      </c>
      <c r="I40" s="225">
        <f>E40*H40</f>
        <v>1.04481</v>
      </c>
      <c r="J40" s="224">
        <v>0</v>
      </c>
      <c r="K40" s="225">
        <f>E40*J40</f>
        <v>0</v>
      </c>
      <c r="O40" s="217">
        <v>2</v>
      </c>
      <c r="AA40" s="190">
        <v>1</v>
      </c>
      <c r="AB40" s="190">
        <v>1</v>
      </c>
      <c r="AC40" s="190">
        <v>1</v>
      </c>
      <c r="AZ40" s="190">
        <v>1</v>
      </c>
      <c r="BA40" s="190">
        <f>IF(AZ40=1,G40,0)</f>
        <v>0</v>
      </c>
      <c r="BB40" s="190">
        <f>IF(AZ40=2,G40,0)</f>
        <v>0</v>
      </c>
      <c r="BC40" s="190">
        <f>IF(AZ40=3,G40,0)</f>
        <v>0</v>
      </c>
      <c r="BD40" s="190">
        <f>IF(AZ40=4,G40,0)</f>
        <v>0</v>
      </c>
      <c r="BE40" s="190">
        <f>IF(AZ40=5,G40,0)</f>
        <v>0</v>
      </c>
      <c r="CA40" s="217">
        <v>1</v>
      </c>
      <c r="CB40" s="217">
        <v>1</v>
      </c>
    </row>
    <row r="41" spans="1:15" ht="12.75">
      <c r="A41" s="226"/>
      <c r="B41" s="227"/>
      <c r="C41" s="1588" t="s">
        <v>192</v>
      </c>
      <c r="D41" s="1589"/>
      <c r="E41" s="228">
        <v>2.256</v>
      </c>
      <c r="F41" s="229"/>
      <c r="G41" s="230"/>
      <c r="H41" s="231"/>
      <c r="I41" s="232"/>
      <c r="J41" s="233"/>
      <c r="K41" s="232"/>
      <c r="M41" s="234" t="s">
        <v>192</v>
      </c>
      <c r="O41" s="217"/>
    </row>
    <row r="42" spans="1:15" ht="12.75">
      <c r="A42" s="226"/>
      <c r="B42" s="227"/>
      <c r="C42" s="1588" t="s">
        <v>193</v>
      </c>
      <c r="D42" s="1589"/>
      <c r="E42" s="228">
        <v>1.128</v>
      </c>
      <c r="F42" s="229"/>
      <c r="G42" s="230"/>
      <c r="H42" s="231"/>
      <c r="I42" s="232"/>
      <c r="J42" s="233"/>
      <c r="K42" s="232"/>
      <c r="M42" s="234" t="s">
        <v>193</v>
      </c>
      <c r="O42" s="217"/>
    </row>
    <row r="43" spans="1:80" ht="12.75">
      <c r="A43" s="218">
        <v>13</v>
      </c>
      <c r="B43" s="219" t="s">
        <v>194</v>
      </c>
      <c r="C43" s="220" t="s">
        <v>195</v>
      </c>
      <c r="D43" s="221" t="s">
        <v>196</v>
      </c>
      <c r="E43" s="222">
        <v>28</v>
      </c>
      <c r="F43" s="222"/>
      <c r="G43" s="223">
        <f>E43*F43</f>
        <v>0</v>
      </c>
      <c r="H43" s="224">
        <v>0.025</v>
      </c>
      <c r="I43" s="225">
        <f>E43*H43</f>
        <v>0.7000000000000001</v>
      </c>
      <c r="J43" s="224"/>
      <c r="K43" s="225">
        <f>E43*J43</f>
        <v>0</v>
      </c>
      <c r="O43" s="217">
        <v>2</v>
      </c>
      <c r="AA43" s="190">
        <v>3</v>
      </c>
      <c r="AB43" s="190">
        <v>1</v>
      </c>
      <c r="AC43" s="190">
        <v>595133233</v>
      </c>
      <c r="AZ43" s="190">
        <v>1</v>
      </c>
      <c r="BA43" s="190">
        <f>IF(AZ43=1,G43,0)</f>
        <v>0</v>
      </c>
      <c r="BB43" s="190">
        <f>IF(AZ43=2,G43,0)</f>
        <v>0</v>
      </c>
      <c r="BC43" s="190">
        <f>IF(AZ43=3,G43,0)</f>
        <v>0</v>
      </c>
      <c r="BD43" s="190">
        <f>IF(AZ43=4,G43,0)</f>
        <v>0</v>
      </c>
      <c r="BE43" s="190">
        <f>IF(AZ43=5,G43,0)</f>
        <v>0</v>
      </c>
      <c r="CA43" s="217">
        <v>3</v>
      </c>
      <c r="CB43" s="217">
        <v>1</v>
      </c>
    </row>
    <row r="44" spans="1:15" ht="12.75">
      <c r="A44" s="226"/>
      <c r="B44" s="227"/>
      <c r="C44" s="1598" t="s">
        <v>197</v>
      </c>
      <c r="D44" s="1589"/>
      <c r="E44" s="246">
        <v>0</v>
      </c>
      <c r="F44" s="229"/>
      <c r="G44" s="230"/>
      <c r="H44" s="231"/>
      <c r="I44" s="232"/>
      <c r="J44" s="233"/>
      <c r="K44" s="232"/>
      <c r="M44" s="234" t="s">
        <v>197</v>
      </c>
      <c r="O44" s="217"/>
    </row>
    <row r="45" spans="1:15" ht="12.75">
      <c r="A45" s="226"/>
      <c r="B45" s="227"/>
      <c r="C45" s="1598" t="s">
        <v>192</v>
      </c>
      <c r="D45" s="1589"/>
      <c r="E45" s="246">
        <v>2.256</v>
      </c>
      <c r="F45" s="229"/>
      <c r="G45" s="230"/>
      <c r="H45" s="231"/>
      <c r="I45" s="232"/>
      <c r="J45" s="233"/>
      <c r="K45" s="232"/>
      <c r="M45" s="234" t="s">
        <v>192</v>
      </c>
      <c r="O45" s="217"/>
    </row>
    <row r="46" spans="1:15" ht="12.75">
      <c r="A46" s="226"/>
      <c r="B46" s="227"/>
      <c r="C46" s="1598" t="s">
        <v>193</v>
      </c>
      <c r="D46" s="1589"/>
      <c r="E46" s="246">
        <v>1.128</v>
      </c>
      <c r="F46" s="229"/>
      <c r="G46" s="230"/>
      <c r="H46" s="231"/>
      <c r="I46" s="232"/>
      <c r="J46" s="233"/>
      <c r="K46" s="232"/>
      <c r="M46" s="234" t="s">
        <v>193</v>
      </c>
      <c r="O46" s="217"/>
    </row>
    <row r="47" spans="1:15" ht="12.75">
      <c r="A47" s="226"/>
      <c r="B47" s="227"/>
      <c r="C47" s="1598" t="s">
        <v>198</v>
      </c>
      <c r="D47" s="1589"/>
      <c r="E47" s="246">
        <v>24.6109</v>
      </c>
      <c r="F47" s="229"/>
      <c r="G47" s="230"/>
      <c r="H47" s="231"/>
      <c r="I47" s="232"/>
      <c r="J47" s="233"/>
      <c r="K47" s="232"/>
      <c r="M47" s="234" t="s">
        <v>198</v>
      </c>
      <c r="O47" s="217"/>
    </row>
    <row r="48" spans="1:15" ht="12.75">
      <c r="A48" s="226"/>
      <c r="B48" s="227"/>
      <c r="C48" s="1598" t="s">
        <v>199</v>
      </c>
      <c r="D48" s="1589"/>
      <c r="E48" s="246">
        <v>27.9949</v>
      </c>
      <c r="F48" s="229"/>
      <c r="G48" s="230"/>
      <c r="H48" s="231"/>
      <c r="I48" s="232"/>
      <c r="J48" s="233"/>
      <c r="K48" s="232"/>
      <c r="M48" s="234" t="s">
        <v>199</v>
      </c>
      <c r="O48" s="217"/>
    </row>
    <row r="49" spans="1:15" ht="12.75">
      <c r="A49" s="226"/>
      <c r="B49" s="227"/>
      <c r="C49" s="1588" t="s">
        <v>200</v>
      </c>
      <c r="D49" s="1589"/>
      <c r="E49" s="228">
        <v>28</v>
      </c>
      <c r="F49" s="229"/>
      <c r="G49" s="230"/>
      <c r="H49" s="231"/>
      <c r="I49" s="232"/>
      <c r="J49" s="233"/>
      <c r="K49" s="232"/>
      <c r="M49" s="234">
        <v>28</v>
      </c>
      <c r="O49" s="217"/>
    </row>
    <row r="50" spans="1:57" ht="12.75">
      <c r="A50" s="236"/>
      <c r="B50" s="237" t="s">
        <v>175</v>
      </c>
      <c r="C50" s="238" t="s">
        <v>201</v>
      </c>
      <c r="D50" s="239"/>
      <c r="E50" s="240"/>
      <c r="F50" s="241"/>
      <c r="G50" s="242">
        <f>SUM(G39:G49)</f>
        <v>0</v>
      </c>
      <c r="H50" s="243"/>
      <c r="I50" s="244">
        <f>SUM(I39:I49)</f>
        <v>1.7448100000000002</v>
      </c>
      <c r="J50" s="243"/>
      <c r="K50" s="244">
        <f>SUM(K39:K49)</f>
        <v>0</v>
      </c>
      <c r="O50" s="217">
        <v>4</v>
      </c>
      <c r="BA50" s="245">
        <f>SUM(BA39:BA49)</f>
        <v>0</v>
      </c>
      <c r="BB50" s="245">
        <f>SUM(BB39:BB49)</f>
        <v>0</v>
      </c>
      <c r="BC50" s="245">
        <f>SUM(BC39:BC49)</f>
        <v>0</v>
      </c>
      <c r="BD50" s="245">
        <f>SUM(BD39:BD49)</f>
        <v>0</v>
      </c>
      <c r="BE50" s="245">
        <f>SUM(BE39:BE49)</f>
        <v>0</v>
      </c>
    </row>
    <row r="51" spans="1:15" ht="12.75">
      <c r="A51" s="207" t="s">
        <v>140</v>
      </c>
      <c r="B51" s="208" t="s">
        <v>202</v>
      </c>
      <c r="C51" s="209" t="s">
        <v>203</v>
      </c>
      <c r="D51" s="210"/>
      <c r="E51" s="211"/>
      <c r="F51" s="211"/>
      <c r="G51" s="212"/>
      <c r="H51" s="213"/>
      <c r="I51" s="214"/>
      <c r="J51" s="215"/>
      <c r="K51" s="216"/>
      <c r="O51" s="217">
        <v>1</v>
      </c>
    </row>
    <row r="52" spans="1:80" ht="12.75">
      <c r="A52" s="218">
        <v>14</v>
      </c>
      <c r="B52" s="219" t="s">
        <v>204</v>
      </c>
      <c r="C52" s="220" t="s">
        <v>205</v>
      </c>
      <c r="D52" s="221" t="s">
        <v>145</v>
      </c>
      <c r="E52" s="222">
        <v>189.24</v>
      </c>
      <c r="F52" s="222"/>
      <c r="G52" s="223">
        <f>E52*F52</f>
        <v>0</v>
      </c>
      <c r="H52" s="224">
        <v>0.00121</v>
      </c>
      <c r="I52" s="225">
        <f>E52*H52</f>
        <v>0.2289804</v>
      </c>
      <c r="J52" s="224">
        <v>0</v>
      </c>
      <c r="K52" s="225">
        <f>E52*J52</f>
        <v>0</v>
      </c>
      <c r="O52" s="217">
        <v>2</v>
      </c>
      <c r="AA52" s="190">
        <v>1</v>
      </c>
      <c r="AB52" s="190">
        <v>1</v>
      </c>
      <c r="AC52" s="190">
        <v>1</v>
      </c>
      <c r="AZ52" s="190">
        <v>1</v>
      </c>
      <c r="BA52" s="190">
        <f>IF(AZ52=1,G52,0)</f>
        <v>0</v>
      </c>
      <c r="BB52" s="190">
        <f>IF(AZ52=2,G52,0)</f>
        <v>0</v>
      </c>
      <c r="BC52" s="190">
        <f>IF(AZ52=3,G52,0)</f>
        <v>0</v>
      </c>
      <c r="BD52" s="190">
        <f>IF(AZ52=4,G52,0)</f>
        <v>0</v>
      </c>
      <c r="BE52" s="190">
        <f>IF(AZ52=5,G52,0)</f>
        <v>0</v>
      </c>
      <c r="CA52" s="217">
        <v>1</v>
      </c>
      <c r="CB52" s="217">
        <v>1</v>
      </c>
    </row>
    <row r="53" spans="1:15" ht="12.75">
      <c r="A53" s="226"/>
      <c r="B53" s="227"/>
      <c r="C53" s="1588" t="s">
        <v>206</v>
      </c>
      <c r="D53" s="1589"/>
      <c r="E53" s="228">
        <v>189.24</v>
      </c>
      <c r="F53" s="229"/>
      <c r="G53" s="230"/>
      <c r="H53" s="231"/>
      <c r="I53" s="232"/>
      <c r="J53" s="233"/>
      <c r="K53" s="232"/>
      <c r="M53" s="234" t="s">
        <v>206</v>
      </c>
      <c r="O53" s="217"/>
    </row>
    <row r="54" spans="1:57" ht="12.75">
      <c r="A54" s="236"/>
      <c r="B54" s="237" t="s">
        <v>175</v>
      </c>
      <c r="C54" s="238" t="s">
        <v>207</v>
      </c>
      <c r="D54" s="239"/>
      <c r="E54" s="240"/>
      <c r="F54" s="241"/>
      <c r="G54" s="242">
        <f>SUM(G51:G53)</f>
        <v>0</v>
      </c>
      <c r="H54" s="243"/>
      <c r="I54" s="244">
        <f>SUM(I51:I53)</f>
        <v>0.2289804</v>
      </c>
      <c r="J54" s="243"/>
      <c r="K54" s="244">
        <f>SUM(K51:K53)</f>
        <v>0</v>
      </c>
      <c r="O54" s="217">
        <v>4</v>
      </c>
      <c r="BA54" s="245">
        <f>SUM(BA51:BA53)</f>
        <v>0</v>
      </c>
      <c r="BB54" s="245">
        <f>SUM(BB51:BB53)</f>
        <v>0</v>
      </c>
      <c r="BC54" s="245">
        <f>SUM(BC51:BC53)</f>
        <v>0</v>
      </c>
      <c r="BD54" s="245">
        <f>SUM(BD51:BD53)</f>
        <v>0</v>
      </c>
      <c r="BE54" s="245">
        <f>SUM(BE51:BE53)</f>
        <v>0</v>
      </c>
    </row>
    <row r="55" spans="1:15" ht="12.75">
      <c r="A55" s="207" t="s">
        <v>140</v>
      </c>
      <c r="B55" s="208" t="s">
        <v>208</v>
      </c>
      <c r="C55" s="209" t="s">
        <v>209</v>
      </c>
      <c r="D55" s="210"/>
      <c r="E55" s="211"/>
      <c r="F55" s="211"/>
      <c r="G55" s="212"/>
      <c r="H55" s="213"/>
      <c r="I55" s="214"/>
      <c r="J55" s="215"/>
      <c r="K55" s="216"/>
      <c r="O55" s="217">
        <v>1</v>
      </c>
    </row>
    <row r="56" spans="1:80" ht="12.75">
      <c r="A56" s="218">
        <v>15</v>
      </c>
      <c r="B56" s="219" t="s">
        <v>210</v>
      </c>
      <c r="C56" s="220" t="s">
        <v>211</v>
      </c>
      <c r="D56" s="221" t="s">
        <v>145</v>
      </c>
      <c r="E56" s="222">
        <v>200</v>
      </c>
      <c r="F56" s="222"/>
      <c r="G56" s="223">
        <f>E56*F56</f>
        <v>0</v>
      </c>
      <c r="H56" s="224">
        <v>4E-05</v>
      </c>
      <c r="I56" s="225">
        <f>E56*H56</f>
        <v>0.008</v>
      </c>
      <c r="J56" s="224">
        <v>0</v>
      </c>
      <c r="K56" s="225">
        <f>E56*J56</f>
        <v>0</v>
      </c>
      <c r="O56" s="217">
        <v>2</v>
      </c>
      <c r="AA56" s="190">
        <v>1</v>
      </c>
      <c r="AB56" s="190">
        <v>1</v>
      </c>
      <c r="AC56" s="190">
        <v>1</v>
      </c>
      <c r="AZ56" s="190">
        <v>1</v>
      </c>
      <c r="BA56" s="190">
        <f>IF(AZ56=1,G56,0)</f>
        <v>0</v>
      </c>
      <c r="BB56" s="190">
        <f>IF(AZ56=2,G56,0)</f>
        <v>0</v>
      </c>
      <c r="BC56" s="190">
        <f>IF(AZ56=3,G56,0)</f>
        <v>0</v>
      </c>
      <c r="BD56" s="190">
        <f>IF(AZ56=4,G56,0)</f>
        <v>0</v>
      </c>
      <c r="BE56" s="190">
        <f>IF(AZ56=5,G56,0)</f>
        <v>0</v>
      </c>
      <c r="CA56" s="217">
        <v>1</v>
      </c>
      <c r="CB56" s="217">
        <v>1</v>
      </c>
    </row>
    <row r="57" spans="1:57" ht="12.75">
      <c r="A57" s="236"/>
      <c r="B57" s="237" t="s">
        <v>175</v>
      </c>
      <c r="C57" s="238" t="s">
        <v>212</v>
      </c>
      <c r="D57" s="239"/>
      <c r="E57" s="240"/>
      <c r="F57" s="241"/>
      <c r="G57" s="242">
        <f>SUM(G55:G56)</f>
        <v>0</v>
      </c>
      <c r="H57" s="243"/>
      <c r="I57" s="244">
        <f>SUM(I55:I56)</f>
        <v>0.008</v>
      </c>
      <c r="J57" s="243"/>
      <c r="K57" s="244">
        <f>SUM(K55:K56)</f>
        <v>0</v>
      </c>
      <c r="O57" s="217">
        <v>4</v>
      </c>
      <c r="BA57" s="245">
        <f>SUM(BA55:BA56)</f>
        <v>0</v>
      </c>
      <c r="BB57" s="245">
        <f>SUM(BB55:BB56)</f>
        <v>0</v>
      </c>
      <c r="BC57" s="245">
        <f>SUM(BC55:BC56)</f>
        <v>0</v>
      </c>
      <c r="BD57" s="245">
        <f>SUM(BD55:BD56)</f>
        <v>0</v>
      </c>
      <c r="BE57" s="245">
        <f>SUM(BE55:BE56)</f>
        <v>0</v>
      </c>
    </row>
    <row r="58" spans="1:15" ht="12.75">
      <c r="A58" s="207" t="s">
        <v>140</v>
      </c>
      <c r="B58" s="208" t="s">
        <v>213</v>
      </c>
      <c r="C58" s="209" t="s">
        <v>214</v>
      </c>
      <c r="D58" s="210"/>
      <c r="E58" s="211"/>
      <c r="F58" s="211"/>
      <c r="G58" s="212"/>
      <c r="H58" s="213"/>
      <c r="I58" s="214"/>
      <c r="J58" s="215"/>
      <c r="K58" s="216"/>
      <c r="O58" s="217">
        <v>1</v>
      </c>
    </row>
    <row r="59" spans="1:80" ht="12.75">
      <c r="A59" s="218">
        <v>16</v>
      </c>
      <c r="B59" s="219" t="s">
        <v>215</v>
      </c>
      <c r="C59" s="220" t="s">
        <v>216</v>
      </c>
      <c r="D59" s="221" t="s">
        <v>154</v>
      </c>
      <c r="E59" s="222">
        <v>22.768</v>
      </c>
      <c r="F59" s="222"/>
      <c r="G59" s="223">
        <f>E59*F59</f>
        <v>0</v>
      </c>
      <c r="H59" s="224">
        <v>0</v>
      </c>
      <c r="I59" s="225">
        <f>E59*H59</f>
        <v>0</v>
      </c>
      <c r="J59" s="224">
        <v>-2</v>
      </c>
      <c r="K59" s="225">
        <f>E59*J59</f>
        <v>-45.536</v>
      </c>
      <c r="O59" s="217">
        <v>2</v>
      </c>
      <c r="AA59" s="190">
        <v>1</v>
      </c>
      <c r="AB59" s="190">
        <v>1</v>
      </c>
      <c r="AC59" s="190">
        <v>1</v>
      </c>
      <c r="AZ59" s="190">
        <v>1</v>
      </c>
      <c r="BA59" s="190">
        <f>IF(AZ59=1,G59,0)</f>
        <v>0</v>
      </c>
      <c r="BB59" s="190">
        <f>IF(AZ59=2,G59,0)</f>
        <v>0</v>
      </c>
      <c r="BC59" s="190">
        <f>IF(AZ59=3,G59,0)</f>
        <v>0</v>
      </c>
      <c r="BD59" s="190">
        <f>IF(AZ59=4,G59,0)</f>
        <v>0</v>
      </c>
      <c r="BE59" s="190">
        <f>IF(AZ59=5,G59,0)</f>
        <v>0</v>
      </c>
      <c r="CA59" s="217">
        <v>1</v>
      </c>
      <c r="CB59" s="217">
        <v>1</v>
      </c>
    </row>
    <row r="60" spans="1:15" ht="12.75">
      <c r="A60" s="226"/>
      <c r="B60" s="227"/>
      <c r="C60" s="1588" t="s">
        <v>170</v>
      </c>
      <c r="D60" s="1589"/>
      <c r="E60" s="228">
        <v>20.08</v>
      </c>
      <c r="F60" s="229"/>
      <c r="G60" s="230"/>
      <c r="H60" s="231"/>
      <c r="I60" s="232"/>
      <c r="J60" s="233"/>
      <c r="K60" s="232"/>
      <c r="M60" s="234" t="s">
        <v>170</v>
      </c>
      <c r="O60" s="217"/>
    </row>
    <row r="61" spans="1:15" ht="12.75">
      <c r="A61" s="226"/>
      <c r="B61" s="227"/>
      <c r="C61" s="1588" t="s">
        <v>171</v>
      </c>
      <c r="D61" s="1589"/>
      <c r="E61" s="228">
        <v>2.688</v>
      </c>
      <c r="F61" s="229"/>
      <c r="G61" s="230"/>
      <c r="H61" s="231"/>
      <c r="I61" s="232"/>
      <c r="J61" s="233"/>
      <c r="K61" s="232"/>
      <c r="M61" s="234" t="s">
        <v>171</v>
      </c>
      <c r="O61" s="217"/>
    </row>
    <row r="62" spans="1:80" ht="12.75">
      <c r="A62" s="218">
        <v>17</v>
      </c>
      <c r="B62" s="219" t="s">
        <v>217</v>
      </c>
      <c r="C62" s="220" t="s">
        <v>218</v>
      </c>
      <c r="D62" s="221" t="s">
        <v>154</v>
      </c>
      <c r="E62" s="222">
        <v>5.541</v>
      </c>
      <c r="F62" s="222"/>
      <c r="G62" s="223">
        <f>E62*F62</f>
        <v>0</v>
      </c>
      <c r="H62" s="224">
        <v>0.00147</v>
      </c>
      <c r="I62" s="225">
        <f>E62*H62</f>
        <v>0.00814527</v>
      </c>
      <c r="J62" s="224">
        <v>-2.2</v>
      </c>
      <c r="K62" s="225">
        <f>E62*J62</f>
        <v>-12.190200000000003</v>
      </c>
      <c r="O62" s="217">
        <v>2</v>
      </c>
      <c r="AA62" s="190">
        <v>1</v>
      </c>
      <c r="AB62" s="190">
        <v>1</v>
      </c>
      <c r="AC62" s="190">
        <v>1</v>
      </c>
      <c r="AZ62" s="190">
        <v>1</v>
      </c>
      <c r="BA62" s="190">
        <f>IF(AZ62=1,G62,0)</f>
        <v>0</v>
      </c>
      <c r="BB62" s="190">
        <f>IF(AZ62=2,G62,0)</f>
        <v>0</v>
      </c>
      <c r="BC62" s="190">
        <f>IF(AZ62=3,G62,0)</f>
        <v>0</v>
      </c>
      <c r="BD62" s="190">
        <f>IF(AZ62=4,G62,0)</f>
        <v>0</v>
      </c>
      <c r="BE62" s="190">
        <f>IF(AZ62=5,G62,0)</f>
        <v>0</v>
      </c>
      <c r="CA62" s="217">
        <v>1</v>
      </c>
      <c r="CB62" s="217">
        <v>1</v>
      </c>
    </row>
    <row r="63" spans="1:15" ht="12.75">
      <c r="A63" s="226"/>
      <c r="B63" s="227"/>
      <c r="C63" s="1588" t="s">
        <v>219</v>
      </c>
      <c r="D63" s="1589"/>
      <c r="E63" s="228">
        <v>4.016</v>
      </c>
      <c r="F63" s="229"/>
      <c r="G63" s="230"/>
      <c r="H63" s="231"/>
      <c r="I63" s="232"/>
      <c r="J63" s="233"/>
      <c r="K63" s="232"/>
      <c r="M63" s="234" t="s">
        <v>219</v>
      </c>
      <c r="O63" s="217"/>
    </row>
    <row r="64" spans="1:15" ht="12.75">
      <c r="A64" s="226"/>
      <c r="B64" s="227"/>
      <c r="C64" s="1588" t="s">
        <v>220</v>
      </c>
      <c r="D64" s="1589"/>
      <c r="E64" s="228">
        <v>1.525</v>
      </c>
      <c r="F64" s="229"/>
      <c r="G64" s="230"/>
      <c r="H64" s="231"/>
      <c r="I64" s="232"/>
      <c r="J64" s="233"/>
      <c r="K64" s="232"/>
      <c r="M64" s="234" t="s">
        <v>220</v>
      </c>
      <c r="O64" s="217"/>
    </row>
    <row r="65" spans="1:80" ht="20.4">
      <c r="A65" s="218">
        <v>18</v>
      </c>
      <c r="B65" s="219" t="s">
        <v>221</v>
      </c>
      <c r="C65" s="220" t="s">
        <v>222</v>
      </c>
      <c r="D65" s="221" t="s">
        <v>154</v>
      </c>
      <c r="E65" s="222">
        <v>10.0101</v>
      </c>
      <c r="F65" s="222"/>
      <c r="G65" s="223">
        <f>E65*F65</f>
        <v>0</v>
      </c>
      <c r="H65" s="224">
        <v>0</v>
      </c>
      <c r="I65" s="225">
        <f>E65*H65</f>
        <v>0</v>
      </c>
      <c r="J65" s="224">
        <v>-2.2</v>
      </c>
      <c r="K65" s="225">
        <f>E65*J65</f>
        <v>-22.02222</v>
      </c>
      <c r="O65" s="217">
        <v>2</v>
      </c>
      <c r="AA65" s="190">
        <v>1</v>
      </c>
      <c r="AB65" s="190">
        <v>1</v>
      </c>
      <c r="AC65" s="190">
        <v>1</v>
      </c>
      <c r="AZ65" s="190">
        <v>1</v>
      </c>
      <c r="BA65" s="190">
        <f>IF(AZ65=1,G65,0)</f>
        <v>0</v>
      </c>
      <c r="BB65" s="190">
        <f>IF(AZ65=2,G65,0)</f>
        <v>0</v>
      </c>
      <c r="BC65" s="190">
        <f>IF(AZ65=3,G65,0)</f>
        <v>0</v>
      </c>
      <c r="BD65" s="190">
        <f>IF(AZ65=4,G65,0)</f>
        <v>0</v>
      </c>
      <c r="BE65" s="190">
        <f>IF(AZ65=5,G65,0)</f>
        <v>0</v>
      </c>
      <c r="CA65" s="217">
        <v>1</v>
      </c>
      <c r="CB65" s="217">
        <v>1</v>
      </c>
    </row>
    <row r="66" spans="1:15" ht="12.75">
      <c r="A66" s="226"/>
      <c r="B66" s="227"/>
      <c r="C66" s="1588" t="s">
        <v>223</v>
      </c>
      <c r="D66" s="1589"/>
      <c r="E66" s="228">
        <v>10.0101</v>
      </c>
      <c r="F66" s="229"/>
      <c r="G66" s="230"/>
      <c r="H66" s="231"/>
      <c r="I66" s="232"/>
      <c r="J66" s="233"/>
      <c r="K66" s="232"/>
      <c r="M66" s="234" t="s">
        <v>223</v>
      </c>
      <c r="O66" s="217"/>
    </row>
    <row r="67" spans="1:80" ht="20.4">
      <c r="A67" s="218">
        <v>19</v>
      </c>
      <c r="B67" s="219" t="s">
        <v>224</v>
      </c>
      <c r="C67" s="220" t="s">
        <v>225</v>
      </c>
      <c r="D67" s="221" t="s">
        <v>154</v>
      </c>
      <c r="E67" s="222">
        <v>10.0101</v>
      </c>
      <c r="F67" s="222"/>
      <c r="G67" s="223">
        <f>E67*F67</f>
        <v>0</v>
      </c>
      <c r="H67" s="224">
        <v>0</v>
      </c>
      <c r="I67" s="225">
        <f>E67*H67</f>
        <v>0</v>
      </c>
      <c r="J67" s="224">
        <v>0</v>
      </c>
      <c r="K67" s="225">
        <f>E67*J67</f>
        <v>0</v>
      </c>
      <c r="O67" s="217">
        <v>2</v>
      </c>
      <c r="AA67" s="190">
        <v>1</v>
      </c>
      <c r="AB67" s="190">
        <v>1</v>
      </c>
      <c r="AC67" s="190">
        <v>1</v>
      </c>
      <c r="AZ67" s="190">
        <v>1</v>
      </c>
      <c r="BA67" s="190">
        <f>IF(AZ67=1,G67,0)</f>
        <v>0</v>
      </c>
      <c r="BB67" s="190">
        <f>IF(AZ67=2,G67,0)</f>
        <v>0</v>
      </c>
      <c r="BC67" s="190">
        <f>IF(AZ67=3,G67,0)</f>
        <v>0</v>
      </c>
      <c r="BD67" s="190">
        <f>IF(AZ67=4,G67,0)</f>
        <v>0</v>
      </c>
      <c r="BE67" s="190">
        <f>IF(AZ67=5,G67,0)</f>
        <v>0</v>
      </c>
      <c r="CA67" s="217">
        <v>1</v>
      </c>
      <c r="CB67" s="217">
        <v>1</v>
      </c>
    </row>
    <row r="68" spans="1:15" ht="12.75">
      <c r="A68" s="226"/>
      <c r="B68" s="227"/>
      <c r="C68" s="1588" t="s">
        <v>223</v>
      </c>
      <c r="D68" s="1589"/>
      <c r="E68" s="228">
        <v>10.0101</v>
      </c>
      <c r="F68" s="229"/>
      <c r="G68" s="230"/>
      <c r="H68" s="231"/>
      <c r="I68" s="232"/>
      <c r="J68" s="233"/>
      <c r="K68" s="232"/>
      <c r="M68" s="234" t="s">
        <v>223</v>
      </c>
      <c r="O68" s="217"/>
    </row>
    <row r="69" spans="1:80" ht="12.75">
      <c r="A69" s="218">
        <v>20</v>
      </c>
      <c r="B69" s="219" t="s">
        <v>226</v>
      </c>
      <c r="C69" s="220" t="s">
        <v>227</v>
      </c>
      <c r="D69" s="221" t="s">
        <v>145</v>
      </c>
      <c r="E69" s="222">
        <v>5.47</v>
      </c>
      <c r="F69" s="222"/>
      <c r="G69" s="223">
        <f>E69*F69</f>
        <v>0</v>
      </c>
      <c r="H69" s="224">
        <v>0</v>
      </c>
      <c r="I69" s="225">
        <f>E69*H69</f>
        <v>0</v>
      </c>
      <c r="J69" s="224">
        <v>-0.19</v>
      </c>
      <c r="K69" s="225">
        <f>E69*J69</f>
        <v>-1.0393</v>
      </c>
      <c r="O69" s="217">
        <v>2</v>
      </c>
      <c r="AA69" s="190">
        <v>1</v>
      </c>
      <c r="AB69" s="190">
        <v>1</v>
      </c>
      <c r="AC69" s="190">
        <v>1</v>
      </c>
      <c r="AZ69" s="190">
        <v>1</v>
      </c>
      <c r="BA69" s="190">
        <f>IF(AZ69=1,G69,0)</f>
        <v>0</v>
      </c>
      <c r="BB69" s="190">
        <f>IF(AZ69=2,G69,0)</f>
        <v>0</v>
      </c>
      <c r="BC69" s="190">
        <f>IF(AZ69=3,G69,0)</f>
        <v>0</v>
      </c>
      <c r="BD69" s="190">
        <f>IF(AZ69=4,G69,0)</f>
        <v>0</v>
      </c>
      <c r="BE69" s="190">
        <f>IF(AZ69=5,G69,0)</f>
        <v>0</v>
      </c>
      <c r="CA69" s="217">
        <v>1</v>
      </c>
      <c r="CB69" s="217">
        <v>1</v>
      </c>
    </row>
    <row r="70" spans="1:15" ht="12.75">
      <c r="A70" s="226"/>
      <c r="B70" s="227"/>
      <c r="C70" s="1588" t="s">
        <v>228</v>
      </c>
      <c r="D70" s="1589"/>
      <c r="E70" s="228">
        <v>5.47</v>
      </c>
      <c r="F70" s="229"/>
      <c r="G70" s="230"/>
      <c r="H70" s="231"/>
      <c r="I70" s="232"/>
      <c r="J70" s="233"/>
      <c r="K70" s="232"/>
      <c r="M70" s="234" t="s">
        <v>228</v>
      </c>
      <c r="O70" s="217"/>
    </row>
    <row r="71" spans="1:80" ht="12.75">
      <c r="A71" s="218">
        <v>21</v>
      </c>
      <c r="B71" s="219" t="s">
        <v>229</v>
      </c>
      <c r="C71" s="220" t="s">
        <v>230</v>
      </c>
      <c r="D71" s="221" t="s">
        <v>231</v>
      </c>
      <c r="E71" s="222">
        <v>22</v>
      </c>
      <c r="F71" s="222"/>
      <c r="G71" s="223">
        <f>E71*F71</f>
        <v>0</v>
      </c>
      <c r="H71" s="224">
        <v>0.00038</v>
      </c>
      <c r="I71" s="225">
        <f>E71*H71</f>
        <v>0.008360000000000001</v>
      </c>
      <c r="J71" s="224">
        <v>-0.013</v>
      </c>
      <c r="K71" s="225">
        <f>E71*J71</f>
        <v>-0.286</v>
      </c>
      <c r="O71" s="217">
        <v>2</v>
      </c>
      <c r="AA71" s="190">
        <v>1</v>
      </c>
      <c r="AB71" s="190">
        <v>1</v>
      </c>
      <c r="AC71" s="190">
        <v>1</v>
      </c>
      <c r="AZ71" s="190">
        <v>1</v>
      </c>
      <c r="BA71" s="190">
        <f>IF(AZ71=1,G71,0)</f>
        <v>0</v>
      </c>
      <c r="BB71" s="190">
        <f>IF(AZ71=2,G71,0)</f>
        <v>0</v>
      </c>
      <c r="BC71" s="190">
        <f>IF(AZ71=3,G71,0)</f>
        <v>0</v>
      </c>
      <c r="BD71" s="190">
        <f>IF(AZ71=4,G71,0)</f>
        <v>0</v>
      </c>
      <c r="BE71" s="190">
        <f>IF(AZ71=5,G71,0)</f>
        <v>0</v>
      </c>
      <c r="CA71" s="217">
        <v>1</v>
      </c>
      <c r="CB71" s="217">
        <v>1</v>
      </c>
    </row>
    <row r="72" spans="1:15" ht="12.75">
      <c r="A72" s="226"/>
      <c r="B72" s="227"/>
      <c r="C72" s="1588" t="s">
        <v>232</v>
      </c>
      <c r="D72" s="1589"/>
      <c r="E72" s="228">
        <v>22</v>
      </c>
      <c r="F72" s="229"/>
      <c r="G72" s="230"/>
      <c r="H72" s="231"/>
      <c r="I72" s="232"/>
      <c r="J72" s="233"/>
      <c r="K72" s="232"/>
      <c r="M72" s="234" t="s">
        <v>232</v>
      </c>
      <c r="O72" s="217"/>
    </row>
    <row r="73" spans="1:57" ht="12.75">
      <c r="A73" s="236"/>
      <c r="B73" s="237" t="s">
        <v>175</v>
      </c>
      <c r="C73" s="238" t="s">
        <v>233</v>
      </c>
      <c r="D73" s="239"/>
      <c r="E73" s="240"/>
      <c r="F73" s="241"/>
      <c r="G73" s="242">
        <f>SUM(G58:G72)</f>
        <v>0</v>
      </c>
      <c r="H73" s="243"/>
      <c r="I73" s="244">
        <f>SUM(I58:I72)</f>
        <v>0.016505270000000002</v>
      </c>
      <c r="J73" s="243"/>
      <c r="K73" s="244">
        <f>SUM(K58:K72)</f>
        <v>-81.07372000000001</v>
      </c>
      <c r="O73" s="217">
        <v>4</v>
      </c>
      <c r="BA73" s="245">
        <f>SUM(BA58:BA72)</f>
        <v>0</v>
      </c>
      <c r="BB73" s="245">
        <f>SUM(BB58:BB72)</f>
        <v>0</v>
      </c>
      <c r="BC73" s="245">
        <f>SUM(BC58:BC72)</f>
        <v>0</v>
      </c>
      <c r="BD73" s="245">
        <f>SUM(BD58:BD72)</f>
        <v>0</v>
      </c>
      <c r="BE73" s="245">
        <f>SUM(BE58:BE72)</f>
        <v>0</v>
      </c>
    </row>
    <row r="74" spans="1:15" ht="12.75">
      <c r="A74" s="207" t="s">
        <v>140</v>
      </c>
      <c r="B74" s="208" t="s">
        <v>234</v>
      </c>
      <c r="C74" s="209" t="s">
        <v>235</v>
      </c>
      <c r="D74" s="210"/>
      <c r="E74" s="211"/>
      <c r="F74" s="211"/>
      <c r="G74" s="212"/>
      <c r="H74" s="213"/>
      <c r="I74" s="214"/>
      <c r="J74" s="215"/>
      <c r="K74" s="216"/>
      <c r="O74" s="217">
        <v>1</v>
      </c>
    </row>
    <row r="75" spans="1:80" ht="12.75">
      <c r="A75" s="218">
        <v>22</v>
      </c>
      <c r="B75" s="219" t="s">
        <v>236</v>
      </c>
      <c r="C75" s="220" t="s">
        <v>237</v>
      </c>
      <c r="D75" s="221" t="s">
        <v>166</v>
      </c>
      <c r="E75" s="222">
        <v>9.11879567</v>
      </c>
      <c r="F75" s="222"/>
      <c r="G75" s="223">
        <f>E75*F75</f>
        <v>0</v>
      </c>
      <c r="H75" s="224">
        <v>0</v>
      </c>
      <c r="I75" s="225">
        <f>E75*H75</f>
        <v>0</v>
      </c>
      <c r="J75" s="224"/>
      <c r="K75" s="225">
        <f>E75*J75</f>
        <v>0</v>
      </c>
      <c r="O75" s="217">
        <v>2</v>
      </c>
      <c r="AA75" s="190">
        <v>7</v>
      </c>
      <c r="AB75" s="190">
        <v>1</v>
      </c>
      <c r="AC75" s="190">
        <v>2</v>
      </c>
      <c r="AZ75" s="190">
        <v>1</v>
      </c>
      <c r="BA75" s="190">
        <f>IF(AZ75=1,G75,0)</f>
        <v>0</v>
      </c>
      <c r="BB75" s="190">
        <f>IF(AZ75=2,G75,0)</f>
        <v>0</v>
      </c>
      <c r="BC75" s="190">
        <f>IF(AZ75=3,G75,0)</f>
        <v>0</v>
      </c>
      <c r="BD75" s="190">
        <f>IF(AZ75=4,G75,0)</f>
        <v>0</v>
      </c>
      <c r="BE75" s="190">
        <f>IF(AZ75=5,G75,0)</f>
        <v>0</v>
      </c>
      <c r="CA75" s="217">
        <v>7</v>
      </c>
      <c r="CB75" s="217">
        <v>1</v>
      </c>
    </row>
    <row r="76" spans="1:57" ht="12.75">
      <c r="A76" s="236"/>
      <c r="B76" s="237" t="s">
        <v>175</v>
      </c>
      <c r="C76" s="238" t="s">
        <v>238</v>
      </c>
      <c r="D76" s="239"/>
      <c r="E76" s="240"/>
      <c r="F76" s="241"/>
      <c r="G76" s="242">
        <f>SUM(G74:G75)</f>
        <v>0</v>
      </c>
      <c r="H76" s="243"/>
      <c r="I76" s="244">
        <f>SUM(I74:I75)</f>
        <v>0</v>
      </c>
      <c r="J76" s="243"/>
      <c r="K76" s="244">
        <f>SUM(K74:K75)</f>
        <v>0</v>
      </c>
      <c r="O76" s="217">
        <v>4</v>
      </c>
      <c r="BA76" s="245">
        <f>SUM(BA74:BA75)</f>
        <v>0</v>
      </c>
      <c r="BB76" s="245">
        <f>SUM(BB74:BB75)</f>
        <v>0</v>
      </c>
      <c r="BC76" s="245">
        <f>SUM(BC74:BC75)</f>
        <v>0</v>
      </c>
      <c r="BD76" s="245">
        <f>SUM(BD74:BD75)</f>
        <v>0</v>
      </c>
      <c r="BE76" s="245">
        <f>SUM(BE74:BE75)</f>
        <v>0</v>
      </c>
    </row>
    <row r="77" spans="1:15" ht="12.75">
      <c r="A77" s="207" t="s">
        <v>140</v>
      </c>
      <c r="B77" s="208" t="s">
        <v>239</v>
      </c>
      <c r="C77" s="209" t="s">
        <v>240</v>
      </c>
      <c r="D77" s="210"/>
      <c r="E77" s="211"/>
      <c r="F77" s="211"/>
      <c r="G77" s="212"/>
      <c r="H77" s="213"/>
      <c r="I77" s="214"/>
      <c r="J77" s="215"/>
      <c r="K77" s="216"/>
      <c r="O77" s="217">
        <v>1</v>
      </c>
    </row>
    <row r="78" spans="1:80" ht="12.75">
      <c r="A78" s="218">
        <v>23</v>
      </c>
      <c r="B78" s="219" t="s">
        <v>241</v>
      </c>
      <c r="C78" s="220" t="s">
        <v>242</v>
      </c>
      <c r="D78" s="221" t="s">
        <v>231</v>
      </c>
      <c r="E78" s="222">
        <v>610.2</v>
      </c>
      <c r="F78" s="222"/>
      <c r="G78" s="223">
        <f>E78*F78</f>
        <v>0</v>
      </c>
      <c r="H78" s="224">
        <v>0</v>
      </c>
      <c r="I78" s="225">
        <f>E78*H78</f>
        <v>0</v>
      </c>
      <c r="J78" s="224">
        <v>-0.008</v>
      </c>
      <c r="K78" s="225">
        <f>E78*J78</f>
        <v>-4.881600000000001</v>
      </c>
      <c r="O78" s="217">
        <v>2</v>
      </c>
      <c r="AA78" s="190">
        <v>1</v>
      </c>
      <c r="AB78" s="190">
        <v>7</v>
      </c>
      <c r="AC78" s="190">
        <v>7</v>
      </c>
      <c r="AZ78" s="190">
        <v>2</v>
      </c>
      <c r="BA78" s="190">
        <f>IF(AZ78=1,G78,0)</f>
        <v>0</v>
      </c>
      <c r="BB78" s="190">
        <f>IF(AZ78=2,G78,0)</f>
        <v>0</v>
      </c>
      <c r="BC78" s="190">
        <f>IF(AZ78=3,G78,0)</f>
        <v>0</v>
      </c>
      <c r="BD78" s="190">
        <f>IF(AZ78=4,G78,0)</f>
        <v>0</v>
      </c>
      <c r="BE78" s="190">
        <f>IF(AZ78=5,G78,0)</f>
        <v>0</v>
      </c>
      <c r="CA78" s="217">
        <v>1</v>
      </c>
      <c r="CB78" s="217">
        <v>7</v>
      </c>
    </row>
    <row r="79" spans="1:15" ht="12.75">
      <c r="A79" s="226"/>
      <c r="B79" s="227"/>
      <c r="C79" s="1588" t="s">
        <v>243</v>
      </c>
      <c r="D79" s="1589"/>
      <c r="E79" s="228">
        <v>610.2</v>
      </c>
      <c r="F79" s="229"/>
      <c r="G79" s="230"/>
      <c r="H79" s="231"/>
      <c r="I79" s="232"/>
      <c r="J79" s="233"/>
      <c r="K79" s="232"/>
      <c r="M79" s="234" t="s">
        <v>243</v>
      </c>
      <c r="O79" s="217"/>
    </row>
    <row r="80" spans="1:80" ht="12.75">
      <c r="A80" s="218">
        <v>24</v>
      </c>
      <c r="B80" s="219" t="s">
        <v>244</v>
      </c>
      <c r="C80" s="220" t="s">
        <v>245</v>
      </c>
      <c r="D80" s="221" t="s">
        <v>9</v>
      </c>
      <c r="E80" s="222"/>
      <c r="F80" s="222"/>
      <c r="G80" s="223">
        <f>E80*F80</f>
        <v>0</v>
      </c>
      <c r="H80" s="224">
        <v>0</v>
      </c>
      <c r="I80" s="225">
        <f>E80*H80</f>
        <v>0</v>
      </c>
      <c r="J80" s="224"/>
      <c r="K80" s="225">
        <f>E80*J80</f>
        <v>0</v>
      </c>
      <c r="O80" s="217">
        <v>2</v>
      </c>
      <c r="AA80" s="190">
        <v>7</v>
      </c>
      <c r="AB80" s="190">
        <v>1002</v>
      </c>
      <c r="AC80" s="190">
        <v>5</v>
      </c>
      <c r="AZ80" s="190">
        <v>2</v>
      </c>
      <c r="BA80" s="190">
        <f>IF(AZ80=1,G80,0)</f>
        <v>0</v>
      </c>
      <c r="BB80" s="190">
        <f>IF(AZ80=2,G80,0)</f>
        <v>0</v>
      </c>
      <c r="BC80" s="190">
        <f>IF(AZ80=3,G80,0)</f>
        <v>0</v>
      </c>
      <c r="BD80" s="190">
        <f>IF(AZ80=4,G80,0)</f>
        <v>0</v>
      </c>
      <c r="BE80" s="190">
        <f>IF(AZ80=5,G80,0)</f>
        <v>0</v>
      </c>
      <c r="CA80" s="217">
        <v>7</v>
      </c>
      <c r="CB80" s="217">
        <v>1002</v>
      </c>
    </row>
    <row r="81" spans="1:57" ht="12.75">
      <c r="A81" s="236"/>
      <c r="B81" s="237" t="s">
        <v>175</v>
      </c>
      <c r="C81" s="238" t="s">
        <v>246</v>
      </c>
      <c r="D81" s="239"/>
      <c r="E81" s="240"/>
      <c r="F81" s="241"/>
      <c r="G81" s="242">
        <f>SUM(G77:G80)</f>
        <v>0</v>
      </c>
      <c r="H81" s="243"/>
      <c r="I81" s="244">
        <f>SUM(I77:I80)</f>
        <v>0</v>
      </c>
      <c r="J81" s="243"/>
      <c r="K81" s="244">
        <f>SUM(K77:K80)</f>
        <v>-4.881600000000001</v>
      </c>
      <c r="O81" s="217">
        <v>4</v>
      </c>
      <c r="BA81" s="245">
        <f>SUM(BA77:BA80)</f>
        <v>0</v>
      </c>
      <c r="BB81" s="245">
        <f>SUM(BB77:BB80)</f>
        <v>0</v>
      </c>
      <c r="BC81" s="245">
        <f>SUM(BC77:BC80)</f>
        <v>0</v>
      </c>
      <c r="BD81" s="245">
        <f>SUM(BD77:BD80)</f>
        <v>0</v>
      </c>
      <c r="BE81" s="245">
        <f>SUM(BE77:BE80)</f>
        <v>0</v>
      </c>
    </row>
    <row r="82" spans="1:15" ht="12.75">
      <c r="A82" s="207" t="s">
        <v>140</v>
      </c>
      <c r="B82" s="208" t="s">
        <v>247</v>
      </c>
      <c r="C82" s="209" t="s">
        <v>248</v>
      </c>
      <c r="D82" s="210"/>
      <c r="E82" s="211"/>
      <c r="F82" s="211"/>
      <c r="G82" s="212"/>
      <c r="H82" s="213"/>
      <c r="I82" s="214"/>
      <c r="J82" s="215"/>
      <c r="K82" s="216"/>
      <c r="O82" s="217">
        <v>1</v>
      </c>
    </row>
    <row r="83" spans="1:80" ht="12.75">
      <c r="A83" s="218">
        <v>25</v>
      </c>
      <c r="B83" s="219" t="s">
        <v>249</v>
      </c>
      <c r="C83" s="220" t="s">
        <v>250</v>
      </c>
      <c r="D83" s="221" t="s">
        <v>231</v>
      </c>
      <c r="E83" s="222">
        <v>6.8</v>
      </c>
      <c r="F83" s="222"/>
      <c r="G83" s="223">
        <f>E83*F83</f>
        <v>0</v>
      </c>
      <c r="H83" s="224">
        <v>0</v>
      </c>
      <c r="I83" s="225">
        <f>E83*H83</f>
        <v>0</v>
      </c>
      <c r="J83" s="224">
        <v>-0.0023</v>
      </c>
      <c r="K83" s="225">
        <f>E83*J83</f>
        <v>-0.015639999999999998</v>
      </c>
      <c r="O83" s="217">
        <v>2</v>
      </c>
      <c r="AA83" s="190">
        <v>1</v>
      </c>
      <c r="AB83" s="190">
        <v>7</v>
      </c>
      <c r="AC83" s="190">
        <v>7</v>
      </c>
      <c r="AZ83" s="190">
        <v>2</v>
      </c>
      <c r="BA83" s="190">
        <f>IF(AZ83=1,G83,0)</f>
        <v>0</v>
      </c>
      <c r="BB83" s="190">
        <f>IF(AZ83=2,G83,0)</f>
        <v>0</v>
      </c>
      <c r="BC83" s="190">
        <f>IF(AZ83=3,G83,0)</f>
        <v>0</v>
      </c>
      <c r="BD83" s="190">
        <f>IF(AZ83=4,G83,0)</f>
        <v>0</v>
      </c>
      <c r="BE83" s="190">
        <f>IF(AZ83=5,G83,0)</f>
        <v>0</v>
      </c>
      <c r="CA83" s="217">
        <v>1</v>
      </c>
      <c r="CB83" s="217">
        <v>7</v>
      </c>
    </row>
    <row r="84" spans="1:15" ht="12.75">
      <c r="A84" s="226"/>
      <c r="B84" s="227"/>
      <c r="C84" s="1588" t="s">
        <v>251</v>
      </c>
      <c r="D84" s="1589"/>
      <c r="E84" s="228">
        <v>6.8</v>
      </c>
      <c r="F84" s="229"/>
      <c r="G84" s="230"/>
      <c r="H84" s="231"/>
      <c r="I84" s="232"/>
      <c r="J84" s="233"/>
      <c r="K84" s="232"/>
      <c r="M84" s="234" t="s">
        <v>251</v>
      </c>
      <c r="O84" s="217"/>
    </row>
    <row r="85" spans="1:80" ht="12.75">
      <c r="A85" s="218">
        <v>26</v>
      </c>
      <c r="B85" s="219" t="s">
        <v>252</v>
      </c>
      <c r="C85" s="220" t="s">
        <v>253</v>
      </c>
      <c r="D85" s="221" t="s">
        <v>9</v>
      </c>
      <c r="E85" s="222"/>
      <c r="F85" s="222"/>
      <c r="G85" s="223">
        <f>E85*F85</f>
        <v>0</v>
      </c>
      <c r="H85" s="224">
        <v>0</v>
      </c>
      <c r="I85" s="225">
        <f>E85*H85</f>
        <v>0</v>
      </c>
      <c r="J85" s="224"/>
      <c r="K85" s="225">
        <f>E85*J85</f>
        <v>0</v>
      </c>
      <c r="O85" s="217">
        <v>2</v>
      </c>
      <c r="AA85" s="190">
        <v>7</v>
      </c>
      <c r="AB85" s="190">
        <v>1002</v>
      </c>
      <c r="AC85" s="190">
        <v>5</v>
      </c>
      <c r="AZ85" s="190">
        <v>2</v>
      </c>
      <c r="BA85" s="190">
        <f>IF(AZ85=1,G85,0)</f>
        <v>0</v>
      </c>
      <c r="BB85" s="190">
        <f>IF(AZ85=2,G85,0)</f>
        <v>0</v>
      </c>
      <c r="BC85" s="190">
        <f>IF(AZ85=3,G85,0)</f>
        <v>0</v>
      </c>
      <c r="BD85" s="190">
        <f>IF(AZ85=4,G85,0)</f>
        <v>0</v>
      </c>
      <c r="BE85" s="190">
        <f>IF(AZ85=5,G85,0)</f>
        <v>0</v>
      </c>
      <c r="CA85" s="217">
        <v>7</v>
      </c>
      <c r="CB85" s="217">
        <v>1002</v>
      </c>
    </row>
    <row r="86" spans="1:57" ht="12.75">
      <c r="A86" s="236"/>
      <c r="B86" s="237" t="s">
        <v>175</v>
      </c>
      <c r="C86" s="238" t="s">
        <v>254</v>
      </c>
      <c r="D86" s="239"/>
      <c r="E86" s="240"/>
      <c r="F86" s="241"/>
      <c r="G86" s="242">
        <f>SUM(G82:G85)</f>
        <v>0</v>
      </c>
      <c r="H86" s="243"/>
      <c r="I86" s="244">
        <f>SUM(I82:I85)</f>
        <v>0</v>
      </c>
      <c r="J86" s="243"/>
      <c r="K86" s="244">
        <f>SUM(K82:K85)</f>
        <v>-0.015639999999999998</v>
      </c>
      <c r="O86" s="217">
        <v>4</v>
      </c>
      <c r="BA86" s="245">
        <f>SUM(BA82:BA85)</f>
        <v>0</v>
      </c>
      <c r="BB86" s="245">
        <f>SUM(BB82:BB85)</f>
        <v>0</v>
      </c>
      <c r="BC86" s="245">
        <f>SUM(BC82:BC85)</f>
        <v>0</v>
      </c>
      <c r="BD86" s="245">
        <f>SUM(BD82:BD85)</f>
        <v>0</v>
      </c>
      <c r="BE86" s="245">
        <f>SUM(BE82:BE85)</f>
        <v>0</v>
      </c>
    </row>
    <row r="87" spans="1:15" ht="12.75">
      <c r="A87" s="207" t="s">
        <v>140</v>
      </c>
      <c r="B87" s="208" t="s">
        <v>255</v>
      </c>
      <c r="C87" s="209" t="s">
        <v>256</v>
      </c>
      <c r="D87" s="210"/>
      <c r="E87" s="211"/>
      <c r="F87" s="211"/>
      <c r="G87" s="212"/>
      <c r="H87" s="213"/>
      <c r="I87" s="214"/>
      <c r="J87" s="215"/>
      <c r="K87" s="216"/>
      <c r="O87" s="217">
        <v>1</v>
      </c>
    </row>
    <row r="88" spans="1:80" ht="12.75">
      <c r="A88" s="218">
        <v>27</v>
      </c>
      <c r="B88" s="219" t="s">
        <v>257</v>
      </c>
      <c r="C88" s="220" t="s">
        <v>258</v>
      </c>
      <c r="D88" s="221" t="s">
        <v>259</v>
      </c>
      <c r="E88" s="222">
        <v>275.1725</v>
      </c>
      <c r="F88" s="222"/>
      <c r="G88" s="223">
        <f>E88*F88</f>
        <v>0</v>
      </c>
      <c r="H88" s="224">
        <v>5E-05</v>
      </c>
      <c r="I88" s="225">
        <f>E88*H88</f>
        <v>0.013758625000000002</v>
      </c>
      <c r="J88" s="224">
        <v>-0.001</v>
      </c>
      <c r="K88" s="225">
        <f>E88*J88</f>
        <v>-0.27517250000000004</v>
      </c>
      <c r="O88" s="217">
        <v>2</v>
      </c>
      <c r="AA88" s="190">
        <v>1</v>
      </c>
      <c r="AB88" s="190">
        <v>7</v>
      </c>
      <c r="AC88" s="190">
        <v>7</v>
      </c>
      <c r="AZ88" s="190">
        <v>2</v>
      </c>
      <c r="BA88" s="190">
        <f>IF(AZ88=1,G88,0)</f>
        <v>0</v>
      </c>
      <c r="BB88" s="190">
        <f>IF(AZ88=2,G88,0)</f>
        <v>0</v>
      </c>
      <c r="BC88" s="190">
        <f>IF(AZ88=3,G88,0)</f>
        <v>0</v>
      </c>
      <c r="BD88" s="190">
        <f>IF(AZ88=4,G88,0)</f>
        <v>0</v>
      </c>
      <c r="BE88" s="190">
        <f>IF(AZ88=5,G88,0)</f>
        <v>0</v>
      </c>
      <c r="CA88" s="217">
        <v>1</v>
      </c>
      <c r="CB88" s="217">
        <v>7</v>
      </c>
    </row>
    <row r="89" spans="1:15" ht="12.75">
      <c r="A89" s="226"/>
      <c r="B89" s="227"/>
      <c r="C89" s="1588" t="s">
        <v>260</v>
      </c>
      <c r="D89" s="1589"/>
      <c r="E89" s="228">
        <v>109.4</v>
      </c>
      <c r="F89" s="229"/>
      <c r="G89" s="230"/>
      <c r="H89" s="231"/>
      <c r="I89" s="232"/>
      <c r="J89" s="233"/>
      <c r="K89" s="232"/>
      <c r="M89" s="234" t="s">
        <v>260</v>
      </c>
      <c r="O89" s="217"/>
    </row>
    <row r="90" spans="1:15" ht="12.75">
      <c r="A90" s="226"/>
      <c r="B90" s="227"/>
      <c r="C90" s="1588" t="s">
        <v>261</v>
      </c>
      <c r="D90" s="1589"/>
      <c r="E90" s="228">
        <v>32</v>
      </c>
      <c r="F90" s="229"/>
      <c r="G90" s="230"/>
      <c r="H90" s="231"/>
      <c r="I90" s="232"/>
      <c r="J90" s="233"/>
      <c r="K90" s="232"/>
      <c r="M90" s="234" t="s">
        <v>261</v>
      </c>
      <c r="O90" s="217"/>
    </row>
    <row r="91" spans="1:15" ht="12.75">
      <c r="A91" s="226"/>
      <c r="B91" s="227"/>
      <c r="C91" s="1588" t="s">
        <v>262</v>
      </c>
      <c r="D91" s="1589"/>
      <c r="E91" s="228">
        <v>133.7725</v>
      </c>
      <c r="F91" s="229"/>
      <c r="G91" s="230"/>
      <c r="H91" s="231"/>
      <c r="I91" s="232"/>
      <c r="J91" s="233"/>
      <c r="K91" s="232"/>
      <c r="M91" s="234" t="s">
        <v>262</v>
      </c>
      <c r="O91" s="217"/>
    </row>
    <row r="92" spans="1:80" ht="12.75">
      <c r="A92" s="218">
        <v>28</v>
      </c>
      <c r="B92" s="219" t="s">
        <v>263</v>
      </c>
      <c r="C92" s="220" t="s">
        <v>264</v>
      </c>
      <c r="D92" s="221" t="s">
        <v>9</v>
      </c>
      <c r="E92" s="222"/>
      <c r="F92" s="222"/>
      <c r="G92" s="223">
        <f>E92*F92</f>
        <v>0</v>
      </c>
      <c r="H92" s="224">
        <v>0</v>
      </c>
      <c r="I92" s="225">
        <f>E92*H92</f>
        <v>0</v>
      </c>
      <c r="J92" s="224"/>
      <c r="K92" s="225">
        <f>E92*J92</f>
        <v>0</v>
      </c>
      <c r="O92" s="217">
        <v>2</v>
      </c>
      <c r="AA92" s="190">
        <v>7</v>
      </c>
      <c r="AB92" s="190">
        <v>1002</v>
      </c>
      <c r="AC92" s="190">
        <v>5</v>
      </c>
      <c r="AZ92" s="190">
        <v>2</v>
      </c>
      <c r="BA92" s="190">
        <f>IF(AZ92=1,G92,0)</f>
        <v>0</v>
      </c>
      <c r="BB92" s="190">
        <f>IF(AZ92=2,G92,0)</f>
        <v>0</v>
      </c>
      <c r="BC92" s="190">
        <f>IF(AZ92=3,G92,0)</f>
        <v>0</v>
      </c>
      <c r="BD92" s="190">
        <f>IF(AZ92=4,G92,0)</f>
        <v>0</v>
      </c>
      <c r="BE92" s="190">
        <f>IF(AZ92=5,G92,0)</f>
        <v>0</v>
      </c>
      <c r="CA92" s="217">
        <v>7</v>
      </c>
      <c r="CB92" s="217">
        <v>1002</v>
      </c>
    </row>
    <row r="93" spans="1:57" ht="12.75">
      <c r="A93" s="236"/>
      <c r="B93" s="237" t="s">
        <v>175</v>
      </c>
      <c r="C93" s="238" t="s">
        <v>265</v>
      </c>
      <c r="D93" s="239"/>
      <c r="E93" s="240"/>
      <c r="F93" s="241"/>
      <c r="G93" s="242">
        <f>SUM(G87:G92)</f>
        <v>0</v>
      </c>
      <c r="H93" s="243"/>
      <c r="I93" s="244">
        <f>SUM(I87:I92)</f>
        <v>0.013758625000000002</v>
      </c>
      <c r="J93" s="243"/>
      <c r="K93" s="244">
        <f>SUM(K87:K92)</f>
        <v>-0.27517250000000004</v>
      </c>
      <c r="O93" s="217">
        <v>4</v>
      </c>
      <c r="BA93" s="245">
        <f>SUM(BA87:BA92)</f>
        <v>0</v>
      </c>
      <c r="BB93" s="245">
        <f>SUM(BB87:BB92)</f>
        <v>0</v>
      </c>
      <c r="BC93" s="245">
        <f>SUM(BC87:BC92)</f>
        <v>0</v>
      </c>
      <c r="BD93" s="245">
        <f>SUM(BD87:BD92)</f>
        <v>0</v>
      </c>
      <c r="BE93" s="245">
        <f>SUM(BE87:BE92)</f>
        <v>0</v>
      </c>
    </row>
    <row r="94" spans="1:15" ht="12.75">
      <c r="A94" s="207" t="s">
        <v>140</v>
      </c>
      <c r="B94" s="208" t="s">
        <v>266</v>
      </c>
      <c r="C94" s="209" t="s">
        <v>267</v>
      </c>
      <c r="D94" s="210"/>
      <c r="E94" s="211"/>
      <c r="F94" s="211"/>
      <c r="G94" s="212"/>
      <c r="H94" s="213"/>
      <c r="I94" s="214"/>
      <c r="J94" s="215"/>
      <c r="K94" s="216"/>
      <c r="O94" s="217">
        <v>1</v>
      </c>
    </row>
    <row r="95" spans="1:80" ht="12.75">
      <c r="A95" s="218">
        <v>29</v>
      </c>
      <c r="B95" s="219" t="s">
        <v>268</v>
      </c>
      <c r="C95" s="220" t="s">
        <v>269</v>
      </c>
      <c r="D95" s="221" t="s">
        <v>166</v>
      </c>
      <c r="E95" s="222">
        <v>137.1645725</v>
      </c>
      <c r="F95" s="222"/>
      <c r="G95" s="223">
        <f>E95*F95</f>
        <v>0</v>
      </c>
      <c r="H95" s="224">
        <v>0</v>
      </c>
      <c r="I95" s="225">
        <f>E95*H95</f>
        <v>0</v>
      </c>
      <c r="J95" s="224"/>
      <c r="K95" s="225">
        <f>E95*J95</f>
        <v>0</v>
      </c>
      <c r="O95" s="217">
        <v>2</v>
      </c>
      <c r="AA95" s="190">
        <v>8</v>
      </c>
      <c r="AB95" s="190">
        <v>0</v>
      </c>
      <c r="AC95" s="190">
        <v>3</v>
      </c>
      <c r="AZ95" s="190">
        <v>1</v>
      </c>
      <c r="BA95" s="190">
        <f>IF(AZ95=1,G95,0)</f>
        <v>0</v>
      </c>
      <c r="BB95" s="190">
        <f>IF(AZ95=2,G95,0)</f>
        <v>0</v>
      </c>
      <c r="BC95" s="190">
        <f>IF(AZ95=3,G95,0)</f>
        <v>0</v>
      </c>
      <c r="BD95" s="190">
        <f>IF(AZ95=4,G95,0)</f>
        <v>0</v>
      </c>
      <c r="BE95" s="190">
        <f>IF(AZ95=5,G95,0)</f>
        <v>0</v>
      </c>
      <c r="CA95" s="217">
        <v>8</v>
      </c>
      <c r="CB95" s="217">
        <v>0</v>
      </c>
    </row>
    <row r="96" spans="1:80" ht="12.75">
      <c r="A96" s="218">
        <v>30</v>
      </c>
      <c r="B96" s="219" t="s">
        <v>270</v>
      </c>
      <c r="C96" s="220" t="s">
        <v>271</v>
      </c>
      <c r="D96" s="221" t="s">
        <v>166</v>
      </c>
      <c r="E96" s="222">
        <v>1371.645725</v>
      </c>
      <c r="F96" s="222"/>
      <c r="G96" s="223">
        <f>E96*F96</f>
        <v>0</v>
      </c>
      <c r="H96" s="224">
        <v>0</v>
      </c>
      <c r="I96" s="225">
        <f>E96*H96</f>
        <v>0</v>
      </c>
      <c r="J96" s="224"/>
      <c r="K96" s="225">
        <f>E96*J96</f>
        <v>0</v>
      </c>
      <c r="O96" s="217">
        <v>2</v>
      </c>
      <c r="AA96" s="190">
        <v>8</v>
      </c>
      <c r="AB96" s="190">
        <v>0</v>
      </c>
      <c r="AC96" s="190">
        <v>3</v>
      </c>
      <c r="AZ96" s="190">
        <v>1</v>
      </c>
      <c r="BA96" s="190">
        <f>IF(AZ96=1,G96,0)</f>
        <v>0</v>
      </c>
      <c r="BB96" s="190">
        <f>IF(AZ96=2,G96,0)</f>
        <v>0</v>
      </c>
      <c r="BC96" s="190">
        <f>IF(AZ96=3,G96,0)</f>
        <v>0</v>
      </c>
      <c r="BD96" s="190">
        <f>IF(AZ96=4,G96,0)</f>
        <v>0</v>
      </c>
      <c r="BE96" s="190">
        <f>IF(AZ96=5,G96,0)</f>
        <v>0</v>
      </c>
      <c r="CA96" s="217">
        <v>8</v>
      </c>
      <c r="CB96" s="217">
        <v>0</v>
      </c>
    </row>
    <row r="97" spans="1:80" ht="12.75">
      <c r="A97" s="218">
        <v>31</v>
      </c>
      <c r="B97" s="219" t="s">
        <v>272</v>
      </c>
      <c r="C97" s="220" t="s">
        <v>273</v>
      </c>
      <c r="D97" s="221" t="s">
        <v>166</v>
      </c>
      <c r="E97" s="222">
        <v>137.1645725</v>
      </c>
      <c r="F97" s="222"/>
      <c r="G97" s="223">
        <f>E97*F97</f>
        <v>0</v>
      </c>
      <c r="H97" s="224">
        <v>0</v>
      </c>
      <c r="I97" s="225">
        <f>E97*H97</f>
        <v>0</v>
      </c>
      <c r="J97" s="224"/>
      <c r="K97" s="225">
        <f>E97*J97</f>
        <v>0</v>
      </c>
      <c r="O97" s="217">
        <v>2</v>
      </c>
      <c r="AA97" s="190">
        <v>8</v>
      </c>
      <c r="AB97" s="190">
        <v>0</v>
      </c>
      <c r="AC97" s="190">
        <v>3</v>
      </c>
      <c r="AZ97" s="190">
        <v>1</v>
      </c>
      <c r="BA97" s="190">
        <f>IF(AZ97=1,G97,0)</f>
        <v>0</v>
      </c>
      <c r="BB97" s="190">
        <f>IF(AZ97=2,G97,0)</f>
        <v>0</v>
      </c>
      <c r="BC97" s="190">
        <f>IF(AZ97=3,G97,0)</f>
        <v>0</v>
      </c>
      <c r="BD97" s="190">
        <f>IF(AZ97=4,G97,0)</f>
        <v>0</v>
      </c>
      <c r="BE97" s="190">
        <f>IF(AZ97=5,G97,0)</f>
        <v>0</v>
      </c>
      <c r="CA97" s="217">
        <v>8</v>
      </c>
      <c r="CB97" s="217">
        <v>0</v>
      </c>
    </row>
    <row r="98" spans="1:80" ht="12.75">
      <c r="A98" s="218">
        <v>32</v>
      </c>
      <c r="B98" s="219" t="s">
        <v>274</v>
      </c>
      <c r="C98" s="220" t="s">
        <v>275</v>
      </c>
      <c r="D98" s="221" t="s">
        <v>166</v>
      </c>
      <c r="E98" s="222">
        <v>411.4937175</v>
      </c>
      <c r="F98" s="222"/>
      <c r="G98" s="223">
        <f>E98*F98</f>
        <v>0</v>
      </c>
      <c r="H98" s="224">
        <v>0</v>
      </c>
      <c r="I98" s="225">
        <f>E98*H98</f>
        <v>0</v>
      </c>
      <c r="J98" s="224"/>
      <c r="K98" s="225">
        <f>E98*J98</f>
        <v>0</v>
      </c>
      <c r="O98" s="217">
        <v>2</v>
      </c>
      <c r="AA98" s="190">
        <v>8</v>
      </c>
      <c r="AB98" s="190">
        <v>0</v>
      </c>
      <c r="AC98" s="190">
        <v>3</v>
      </c>
      <c r="AZ98" s="190">
        <v>1</v>
      </c>
      <c r="BA98" s="190">
        <f>IF(AZ98=1,G98,0)</f>
        <v>0</v>
      </c>
      <c r="BB98" s="190">
        <f>IF(AZ98=2,G98,0)</f>
        <v>0</v>
      </c>
      <c r="BC98" s="190">
        <f>IF(AZ98=3,G98,0)</f>
        <v>0</v>
      </c>
      <c r="BD98" s="190">
        <f>IF(AZ98=4,G98,0)</f>
        <v>0</v>
      </c>
      <c r="BE98" s="190">
        <f>IF(AZ98=5,G98,0)</f>
        <v>0</v>
      </c>
      <c r="CA98" s="217">
        <v>8</v>
      </c>
      <c r="CB98" s="217">
        <v>0</v>
      </c>
    </row>
    <row r="99" spans="1:80" ht="12.75">
      <c r="A99" s="218">
        <v>33</v>
      </c>
      <c r="B99" s="219" t="s">
        <v>276</v>
      </c>
      <c r="C99" s="220" t="s">
        <v>277</v>
      </c>
      <c r="D99" s="221" t="s">
        <v>166</v>
      </c>
      <c r="E99" s="222">
        <v>137.1645725</v>
      </c>
      <c r="F99" s="222"/>
      <c r="G99" s="223">
        <f>E99*F99</f>
        <v>0</v>
      </c>
      <c r="H99" s="224">
        <v>0</v>
      </c>
      <c r="I99" s="225">
        <f>E99*H99</f>
        <v>0</v>
      </c>
      <c r="J99" s="224"/>
      <c r="K99" s="225">
        <f>E99*J99</f>
        <v>0</v>
      </c>
      <c r="O99" s="217">
        <v>2</v>
      </c>
      <c r="AA99" s="190">
        <v>8</v>
      </c>
      <c r="AB99" s="190">
        <v>0</v>
      </c>
      <c r="AC99" s="190">
        <v>3</v>
      </c>
      <c r="AZ99" s="190">
        <v>1</v>
      </c>
      <c r="BA99" s="190">
        <f>IF(AZ99=1,G99,0)</f>
        <v>0</v>
      </c>
      <c r="BB99" s="190">
        <f>IF(AZ99=2,G99,0)</f>
        <v>0</v>
      </c>
      <c r="BC99" s="190">
        <f>IF(AZ99=3,G99,0)</f>
        <v>0</v>
      </c>
      <c r="BD99" s="190">
        <f>IF(AZ99=4,G99,0)</f>
        <v>0</v>
      </c>
      <c r="BE99" s="190">
        <f>IF(AZ99=5,G99,0)</f>
        <v>0</v>
      </c>
      <c r="CA99" s="217">
        <v>8</v>
      </c>
      <c r="CB99" s="217">
        <v>0</v>
      </c>
    </row>
    <row r="100" spans="1:57" ht="12.75">
      <c r="A100" s="236"/>
      <c r="B100" s="237" t="s">
        <v>175</v>
      </c>
      <c r="C100" s="238" t="s">
        <v>278</v>
      </c>
      <c r="D100" s="239"/>
      <c r="E100" s="240"/>
      <c r="F100" s="241"/>
      <c r="G100" s="242">
        <f>SUM(G94:G99)</f>
        <v>0</v>
      </c>
      <c r="H100" s="243"/>
      <c r="I100" s="244">
        <f>SUM(I94:I99)</f>
        <v>0</v>
      </c>
      <c r="J100" s="243"/>
      <c r="K100" s="244">
        <f>SUM(K94:K99)</f>
        <v>0</v>
      </c>
      <c r="O100" s="217">
        <v>4</v>
      </c>
      <c r="BA100" s="245">
        <f>SUM(BA94:BA99)</f>
        <v>0</v>
      </c>
      <c r="BB100" s="245">
        <f>SUM(BB94:BB99)</f>
        <v>0</v>
      </c>
      <c r="BC100" s="245">
        <f>SUM(BC94:BC99)</f>
        <v>0</v>
      </c>
      <c r="BD100" s="245">
        <f>SUM(BD94:BD99)</f>
        <v>0</v>
      </c>
      <c r="BE100" s="245">
        <f>SUM(BE94:BE99)</f>
        <v>0</v>
      </c>
    </row>
    <row r="101" ht="12.75">
      <c r="E101" s="190"/>
    </row>
    <row r="102" ht="12.75">
      <c r="E102" s="190"/>
    </row>
    <row r="103" ht="12.75">
      <c r="E103" s="190"/>
    </row>
    <row r="104" ht="12.75">
      <c r="E104" s="190"/>
    </row>
    <row r="105" ht="12.75">
      <c r="E105" s="190"/>
    </row>
    <row r="106" ht="12.75">
      <c r="E106" s="190"/>
    </row>
    <row r="107" ht="12.75">
      <c r="E107" s="190"/>
    </row>
    <row r="108" ht="12.75">
      <c r="E108" s="190"/>
    </row>
    <row r="109" ht="12.75">
      <c r="E109" s="190"/>
    </row>
    <row r="110" ht="12.75">
      <c r="E110" s="190"/>
    </row>
    <row r="111" ht="12.75">
      <c r="E111" s="190"/>
    </row>
    <row r="112" ht="12.75">
      <c r="E112" s="190"/>
    </row>
    <row r="113" ht="12.75">
      <c r="E113" s="190"/>
    </row>
    <row r="114" ht="12.75">
      <c r="E114" s="190"/>
    </row>
    <row r="115" ht="12.75">
      <c r="E115" s="190"/>
    </row>
    <row r="116" ht="12.75">
      <c r="E116" s="190"/>
    </row>
    <row r="117" ht="12.75">
      <c r="E117" s="190"/>
    </row>
    <row r="118" ht="12.75">
      <c r="E118" s="190"/>
    </row>
    <row r="119" ht="12.75">
      <c r="E119" s="190"/>
    </row>
    <row r="120" ht="12.75">
      <c r="E120" s="190"/>
    </row>
    <row r="121" ht="12.75">
      <c r="E121" s="190"/>
    </row>
    <row r="122" ht="12.75">
      <c r="E122" s="190"/>
    </row>
    <row r="123" ht="12.75">
      <c r="E123" s="190"/>
    </row>
    <row r="124" spans="1:7" ht="12.75">
      <c r="A124" s="233"/>
      <c r="B124" s="233"/>
      <c r="C124" s="233"/>
      <c r="D124" s="233"/>
      <c r="E124" s="233"/>
      <c r="F124" s="233"/>
      <c r="G124" s="233"/>
    </row>
    <row r="125" spans="1:7" ht="12.75">
      <c r="A125" s="233"/>
      <c r="B125" s="233"/>
      <c r="C125" s="233"/>
      <c r="D125" s="233"/>
      <c r="E125" s="233"/>
      <c r="F125" s="233"/>
      <c r="G125" s="233"/>
    </row>
    <row r="126" spans="1:7" ht="12.75">
      <c r="A126" s="233"/>
      <c r="B126" s="233"/>
      <c r="C126" s="233"/>
      <c r="D126" s="233"/>
      <c r="E126" s="233"/>
      <c r="F126" s="233"/>
      <c r="G126" s="233"/>
    </row>
    <row r="127" spans="1:7" ht="12.75">
      <c r="A127" s="233"/>
      <c r="B127" s="233"/>
      <c r="C127" s="233"/>
      <c r="D127" s="233"/>
      <c r="E127" s="233"/>
      <c r="F127" s="233"/>
      <c r="G127" s="233"/>
    </row>
    <row r="128" ht="12.75">
      <c r="E128" s="190"/>
    </row>
    <row r="129" ht="12.75">
      <c r="E129" s="190"/>
    </row>
    <row r="130" ht="12.75">
      <c r="E130" s="190"/>
    </row>
    <row r="131" ht="12.75">
      <c r="E131" s="190"/>
    </row>
    <row r="132" ht="12.75">
      <c r="E132" s="190"/>
    </row>
    <row r="133" ht="12.75">
      <c r="E133" s="190"/>
    </row>
    <row r="134" ht="12.75">
      <c r="E134" s="190"/>
    </row>
    <row r="135" ht="12.75">
      <c r="E135" s="190"/>
    </row>
    <row r="136" ht="12.75">
      <c r="E136" s="190"/>
    </row>
    <row r="137" ht="12.75">
      <c r="E137" s="190"/>
    </row>
    <row r="138" ht="12.75">
      <c r="E138" s="190"/>
    </row>
    <row r="139" ht="12.75">
      <c r="E139" s="190"/>
    </row>
    <row r="140" ht="12.75">
      <c r="E140" s="190"/>
    </row>
    <row r="141" ht="12.75">
      <c r="E141" s="190"/>
    </row>
    <row r="142" ht="12.75">
      <c r="E142" s="190"/>
    </row>
    <row r="143" ht="12.75">
      <c r="E143" s="190"/>
    </row>
    <row r="144" ht="12.75">
      <c r="E144" s="190"/>
    </row>
    <row r="145" ht="12.75">
      <c r="E145" s="190"/>
    </row>
    <row r="146" ht="12.75">
      <c r="E146" s="190"/>
    </row>
    <row r="147" ht="12.75">
      <c r="E147" s="190"/>
    </row>
    <row r="148" ht="12.75">
      <c r="E148" s="190"/>
    </row>
    <row r="149" ht="12.75">
      <c r="E149" s="190"/>
    </row>
    <row r="150" ht="12.75">
      <c r="E150" s="190"/>
    </row>
    <row r="151" ht="12.75">
      <c r="E151" s="190"/>
    </row>
    <row r="152" ht="12.75">
      <c r="E152" s="190"/>
    </row>
    <row r="153" ht="12.75">
      <c r="E153" s="190"/>
    </row>
    <row r="154" ht="12.75">
      <c r="E154" s="190"/>
    </row>
    <row r="155" ht="12.75">
      <c r="E155" s="190"/>
    </row>
    <row r="156" ht="12.75">
      <c r="E156" s="190"/>
    </row>
    <row r="157" ht="12.75">
      <c r="E157" s="190"/>
    </row>
    <row r="158" ht="12.75">
      <c r="E158" s="190"/>
    </row>
    <row r="159" spans="1:2" ht="12.75">
      <c r="A159" s="247"/>
      <c r="B159" s="247"/>
    </row>
    <row r="160" spans="1:7" ht="12.75">
      <c r="A160" s="233"/>
      <c r="B160" s="233"/>
      <c r="C160" s="248"/>
      <c r="D160" s="248"/>
      <c r="E160" s="249"/>
      <c r="F160" s="248"/>
      <c r="G160" s="250"/>
    </row>
    <row r="161" spans="1:7" ht="12.75">
      <c r="A161" s="251"/>
      <c r="B161" s="251"/>
      <c r="C161" s="233"/>
      <c r="D161" s="233"/>
      <c r="E161" s="252"/>
      <c r="F161" s="233"/>
      <c r="G161" s="233"/>
    </row>
    <row r="162" spans="1:7" ht="12.75">
      <c r="A162" s="233"/>
      <c r="B162" s="233"/>
      <c r="C162" s="233"/>
      <c r="D162" s="233"/>
      <c r="E162" s="252"/>
      <c r="F162" s="233"/>
      <c r="G162" s="233"/>
    </row>
    <row r="163" spans="1:7" ht="12.75">
      <c r="A163" s="233"/>
      <c r="B163" s="233"/>
      <c r="C163" s="233"/>
      <c r="D163" s="233"/>
      <c r="E163" s="252"/>
      <c r="F163" s="233"/>
      <c r="G163" s="233"/>
    </row>
    <row r="164" spans="1:7" ht="12.75">
      <c r="A164" s="233"/>
      <c r="B164" s="233"/>
      <c r="C164" s="233"/>
      <c r="D164" s="233"/>
      <c r="E164" s="252"/>
      <c r="F164" s="233"/>
      <c r="G164" s="233"/>
    </row>
    <row r="165" spans="1:7" ht="12.75">
      <c r="A165" s="233"/>
      <c r="B165" s="233"/>
      <c r="C165" s="233"/>
      <c r="D165" s="233"/>
      <c r="E165" s="252"/>
      <c r="F165" s="233"/>
      <c r="G165" s="233"/>
    </row>
    <row r="166" spans="1:7" ht="12.75">
      <c r="A166" s="233"/>
      <c r="B166" s="233"/>
      <c r="C166" s="233"/>
      <c r="D166" s="233"/>
      <c r="E166" s="252"/>
      <c r="F166" s="233"/>
      <c r="G166" s="233"/>
    </row>
    <row r="167" spans="1:7" ht="12.75">
      <c r="A167" s="233"/>
      <c r="B167" s="233"/>
      <c r="C167" s="233"/>
      <c r="D167" s="233"/>
      <c r="E167" s="252"/>
      <c r="F167" s="233"/>
      <c r="G167" s="233"/>
    </row>
    <row r="168" spans="1:7" ht="12.75">
      <c r="A168" s="233"/>
      <c r="B168" s="233"/>
      <c r="C168" s="233"/>
      <c r="D168" s="233"/>
      <c r="E168" s="252"/>
      <c r="F168" s="233"/>
      <c r="G168" s="233"/>
    </row>
    <row r="169" spans="1:7" ht="12.75">
      <c r="A169" s="233"/>
      <c r="B169" s="233"/>
      <c r="C169" s="233"/>
      <c r="D169" s="233"/>
      <c r="E169" s="252"/>
      <c r="F169" s="233"/>
      <c r="G169" s="233"/>
    </row>
    <row r="170" spans="1:7" ht="12.75">
      <c r="A170" s="233"/>
      <c r="B170" s="233"/>
      <c r="C170" s="233"/>
      <c r="D170" s="233"/>
      <c r="E170" s="252"/>
      <c r="F170" s="233"/>
      <c r="G170" s="233"/>
    </row>
    <row r="171" spans="1:7" ht="12.75">
      <c r="A171" s="233"/>
      <c r="B171" s="233"/>
      <c r="C171" s="233"/>
      <c r="D171" s="233"/>
      <c r="E171" s="252"/>
      <c r="F171" s="233"/>
      <c r="G171" s="233"/>
    </row>
    <row r="172" spans="1:7" ht="12.75">
      <c r="A172" s="233"/>
      <c r="B172" s="233"/>
      <c r="C172" s="233"/>
      <c r="D172" s="233"/>
      <c r="E172" s="252"/>
      <c r="F172" s="233"/>
      <c r="G172" s="233"/>
    </row>
    <row r="173" spans="1:7" ht="12.75">
      <c r="A173" s="233"/>
      <c r="B173" s="233"/>
      <c r="C173" s="233"/>
      <c r="D173" s="233"/>
      <c r="E173" s="252"/>
      <c r="F173" s="233"/>
      <c r="G173" s="233"/>
    </row>
  </sheetData>
  <mergeCells count="41">
    <mergeCell ref="C79:D79"/>
    <mergeCell ref="C84:D84"/>
    <mergeCell ref="C89:D89"/>
    <mergeCell ref="C90:D90"/>
    <mergeCell ref="C91:D91"/>
    <mergeCell ref="C72:D72"/>
    <mergeCell ref="C47:D47"/>
    <mergeCell ref="C48:D48"/>
    <mergeCell ref="C49:D49"/>
    <mergeCell ref="C53:D53"/>
    <mergeCell ref="C60:D60"/>
    <mergeCell ref="C61:D61"/>
    <mergeCell ref="C63:D63"/>
    <mergeCell ref="C64:D64"/>
    <mergeCell ref="C66:D66"/>
    <mergeCell ref="C68:D68"/>
    <mergeCell ref="C70:D70"/>
    <mergeCell ref="C46:D46"/>
    <mergeCell ref="C21:D21"/>
    <mergeCell ref="C24:G24"/>
    <mergeCell ref="C25:D25"/>
    <mergeCell ref="C27:D27"/>
    <mergeCell ref="C28:D28"/>
    <mergeCell ref="C30:D30"/>
    <mergeCell ref="C37:D37"/>
    <mergeCell ref="C41:D41"/>
    <mergeCell ref="C42:D42"/>
    <mergeCell ref="C44:D44"/>
    <mergeCell ref="C45:D45"/>
    <mergeCell ref="C19:D19"/>
    <mergeCell ref="A1:G1"/>
    <mergeCell ref="A3:B3"/>
    <mergeCell ref="A4:B4"/>
    <mergeCell ref="E4:G4"/>
    <mergeCell ref="C9:D9"/>
    <mergeCell ref="C10:D10"/>
    <mergeCell ref="C12:D12"/>
    <mergeCell ref="C13:D13"/>
    <mergeCell ref="C14:D14"/>
    <mergeCell ref="C16:D16"/>
    <mergeCell ref="C18:G18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Z113"/>
  <sheetViews>
    <sheetView showGridLines="0" showZeros="0" view="pageBreakPreview" zoomScaleSheetLayoutView="100" workbookViewId="0" topLeftCell="A1">
      <selection activeCell="J25" sqref="J25"/>
    </sheetView>
  </sheetViews>
  <sheetFormatPr defaultColWidth="9.125" defaultRowHeight="12.75"/>
  <cols>
    <col min="1" max="1" width="4.50390625" style="266" customWidth="1"/>
    <col min="2" max="2" width="11.50390625" style="266" customWidth="1"/>
    <col min="3" max="3" width="40.50390625" style="266" customWidth="1"/>
    <col min="4" max="4" width="5.50390625" style="266" customWidth="1"/>
    <col min="5" max="5" width="8.50390625" style="272" customWidth="1"/>
    <col min="6" max="6" width="9.875" style="266" customWidth="1"/>
    <col min="7" max="7" width="13.875" style="266" customWidth="1"/>
    <col min="8" max="11" width="9.125" style="266" customWidth="1"/>
    <col min="12" max="12" width="75.50390625" style="266" customWidth="1"/>
    <col min="13" max="13" width="45.375" style="266" customWidth="1"/>
    <col min="14" max="256" width="9.125" style="266" customWidth="1"/>
    <col min="257" max="257" width="4.50390625" style="266" customWidth="1"/>
    <col min="258" max="258" width="11.50390625" style="266" customWidth="1"/>
    <col min="259" max="259" width="40.50390625" style="266" customWidth="1"/>
    <col min="260" max="260" width="5.50390625" style="266" customWidth="1"/>
    <col min="261" max="261" width="8.50390625" style="266" customWidth="1"/>
    <col min="262" max="262" width="9.875" style="266" customWidth="1"/>
    <col min="263" max="263" width="13.875" style="266" customWidth="1"/>
    <col min="264" max="267" width="9.125" style="266" customWidth="1"/>
    <col min="268" max="268" width="75.50390625" style="266" customWidth="1"/>
    <col min="269" max="269" width="45.375" style="266" customWidth="1"/>
    <col min="270" max="512" width="9.125" style="266" customWidth="1"/>
    <col min="513" max="513" width="4.50390625" style="266" customWidth="1"/>
    <col min="514" max="514" width="11.50390625" style="266" customWidth="1"/>
    <col min="515" max="515" width="40.50390625" style="266" customWidth="1"/>
    <col min="516" max="516" width="5.50390625" style="266" customWidth="1"/>
    <col min="517" max="517" width="8.50390625" style="266" customWidth="1"/>
    <col min="518" max="518" width="9.875" style="266" customWidth="1"/>
    <col min="519" max="519" width="13.875" style="266" customWidth="1"/>
    <col min="520" max="523" width="9.125" style="266" customWidth="1"/>
    <col min="524" max="524" width="75.50390625" style="266" customWidth="1"/>
    <col min="525" max="525" width="45.375" style="266" customWidth="1"/>
    <col min="526" max="768" width="9.125" style="266" customWidth="1"/>
    <col min="769" max="769" width="4.50390625" style="266" customWidth="1"/>
    <col min="770" max="770" width="11.50390625" style="266" customWidth="1"/>
    <col min="771" max="771" width="40.50390625" style="266" customWidth="1"/>
    <col min="772" max="772" width="5.50390625" style="266" customWidth="1"/>
    <col min="773" max="773" width="8.50390625" style="266" customWidth="1"/>
    <col min="774" max="774" width="9.875" style="266" customWidth="1"/>
    <col min="775" max="775" width="13.875" style="266" customWidth="1"/>
    <col min="776" max="779" width="9.125" style="266" customWidth="1"/>
    <col min="780" max="780" width="75.50390625" style="266" customWidth="1"/>
    <col min="781" max="781" width="45.375" style="266" customWidth="1"/>
    <col min="782" max="1024" width="9.125" style="266" customWidth="1"/>
    <col min="1025" max="1025" width="4.50390625" style="266" customWidth="1"/>
    <col min="1026" max="1026" width="11.50390625" style="266" customWidth="1"/>
    <col min="1027" max="1027" width="40.50390625" style="266" customWidth="1"/>
    <col min="1028" max="1028" width="5.50390625" style="266" customWidth="1"/>
    <col min="1029" max="1029" width="8.50390625" style="266" customWidth="1"/>
    <col min="1030" max="1030" width="9.875" style="266" customWidth="1"/>
    <col min="1031" max="1031" width="13.875" style="266" customWidth="1"/>
    <col min="1032" max="1035" width="9.125" style="266" customWidth="1"/>
    <col min="1036" max="1036" width="75.50390625" style="266" customWidth="1"/>
    <col min="1037" max="1037" width="45.375" style="266" customWidth="1"/>
    <col min="1038" max="1280" width="9.125" style="266" customWidth="1"/>
    <col min="1281" max="1281" width="4.50390625" style="266" customWidth="1"/>
    <col min="1282" max="1282" width="11.50390625" style="266" customWidth="1"/>
    <col min="1283" max="1283" width="40.50390625" style="266" customWidth="1"/>
    <col min="1284" max="1284" width="5.50390625" style="266" customWidth="1"/>
    <col min="1285" max="1285" width="8.50390625" style="266" customWidth="1"/>
    <col min="1286" max="1286" width="9.875" style="266" customWidth="1"/>
    <col min="1287" max="1287" width="13.875" style="266" customWidth="1"/>
    <col min="1288" max="1291" width="9.125" style="266" customWidth="1"/>
    <col min="1292" max="1292" width="75.50390625" style="266" customWidth="1"/>
    <col min="1293" max="1293" width="45.375" style="266" customWidth="1"/>
    <col min="1294" max="1536" width="9.125" style="266" customWidth="1"/>
    <col min="1537" max="1537" width="4.50390625" style="266" customWidth="1"/>
    <col min="1538" max="1538" width="11.50390625" style="266" customWidth="1"/>
    <col min="1539" max="1539" width="40.50390625" style="266" customWidth="1"/>
    <col min="1540" max="1540" width="5.50390625" style="266" customWidth="1"/>
    <col min="1541" max="1541" width="8.50390625" style="266" customWidth="1"/>
    <col min="1542" max="1542" width="9.875" style="266" customWidth="1"/>
    <col min="1543" max="1543" width="13.875" style="266" customWidth="1"/>
    <col min="1544" max="1547" width="9.125" style="266" customWidth="1"/>
    <col min="1548" max="1548" width="75.50390625" style="266" customWidth="1"/>
    <col min="1549" max="1549" width="45.375" style="266" customWidth="1"/>
    <col min="1550" max="1792" width="9.125" style="266" customWidth="1"/>
    <col min="1793" max="1793" width="4.50390625" style="266" customWidth="1"/>
    <col min="1794" max="1794" width="11.50390625" style="266" customWidth="1"/>
    <col min="1795" max="1795" width="40.50390625" style="266" customWidth="1"/>
    <col min="1796" max="1796" width="5.50390625" style="266" customWidth="1"/>
    <col min="1797" max="1797" width="8.50390625" style="266" customWidth="1"/>
    <col min="1798" max="1798" width="9.875" style="266" customWidth="1"/>
    <col min="1799" max="1799" width="13.875" style="266" customWidth="1"/>
    <col min="1800" max="1803" width="9.125" style="266" customWidth="1"/>
    <col min="1804" max="1804" width="75.50390625" style="266" customWidth="1"/>
    <col min="1805" max="1805" width="45.375" style="266" customWidth="1"/>
    <col min="1806" max="2048" width="9.125" style="266" customWidth="1"/>
    <col min="2049" max="2049" width="4.50390625" style="266" customWidth="1"/>
    <col min="2050" max="2050" width="11.50390625" style="266" customWidth="1"/>
    <col min="2051" max="2051" width="40.50390625" style="266" customWidth="1"/>
    <col min="2052" max="2052" width="5.50390625" style="266" customWidth="1"/>
    <col min="2053" max="2053" width="8.50390625" style="266" customWidth="1"/>
    <col min="2054" max="2054" width="9.875" style="266" customWidth="1"/>
    <col min="2055" max="2055" width="13.875" style="266" customWidth="1"/>
    <col min="2056" max="2059" width="9.125" style="266" customWidth="1"/>
    <col min="2060" max="2060" width="75.50390625" style="266" customWidth="1"/>
    <col min="2061" max="2061" width="45.375" style="266" customWidth="1"/>
    <col min="2062" max="2304" width="9.125" style="266" customWidth="1"/>
    <col min="2305" max="2305" width="4.50390625" style="266" customWidth="1"/>
    <col min="2306" max="2306" width="11.50390625" style="266" customWidth="1"/>
    <col min="2307" max="2307" width="40.50390625" style="266" customWidth="1"/>
    <col min="2308" max="2308" width="5.50390625" style="266" customWidth="1"/>
    <col min="2309" max="2309" width="8.50390625" style="266" customWidth="1"/>
    <col min="2310" max="2310" width="9.875" style="266" customWidth="1"/>
    <col min="2311" max="2311" width="13.875" style="266" customWidth="1"/>
    <col min="2312" max="2315" width="9.125" style="266" customWidth="1"/>
    <col min="2316" max="2316" width="75.50390625" style="266" customWidth="1"/>
    <col min="2317" max="2317" width="45.375" style="266" customWidth="1"/>
    <col min="2318" max="2560" width="9.125" style="266" customWidth="1"/>
    <col min="2561" max="2561" width="4.50390625" style="266" customWidth="1"/>
    <col min="2562" max="2562" width="11.50390625" style="266" customWidth="1"/>
    <col min="2563" max="2563" width="40.50390625" style="266" customWidth="1"/>
    <col min="2564" max="2564" width="5.50390625" style="266" customWidth="1"/>
    <col min="2565" max="2565" width="8.50390625" style="266" customWidth="1"/>
    <col min="2566" max="2566" width="9.875" style="266" customWidth="1"/>
    <col min="2567" max="2567" width="13.875" style="266" customWidth="1"/>
    <col min="2568" max="2571" width="9.125" style="266" customWidth="1"/>
    <col min="2572" max="2572" width="75.50390625" style="266" customWidth="1"/>
    <col min="2573" max="2573" width="45.375" style="266" customWidth="1"/>
    <col min="2574" max="2816" width="9.125" style="266" customWidth="1"/>
    <col min="2817" max="2817" width="4.50390625" style="266" customWidth="1"/>
    <col min="2818" max="2818" width="11.50390625" style="266" customWidth="1"/>
    <col min="2819" max="2819" width="40.50390625" style="266" customWidth="1"/>
    <col min="2820" max="2820" width="5.50390625" style="266" customWidth="1"/>
    <col min="2821" max="2821" width="8.50390625" style="266" customWidth="1"/>
    <col min="2822" max="2822" width="9.875" style="266" customWidth="1"/>
    <col min="2823" max="2823" width="13.875" style="266" customWidth="1"/>
    <col min="2824" max="2827" width="9.125" style="266" customWidth="1"/>
    <col min="2828" max="2828" width="75.50390625" style="266" customWidth="1"/>
    <col min="2829" max="2829" width="45.375" style="266" customWidth="1"/>
    <col min="2830" max="3072" width="9.125" style="266" customWidth="1"/>
    <col min="3073" max="3073" width="4.50390625" style="266" customWidth="1"/>
    <col min="3074" max="3074" width="11.50390625" style="266" customWidth="1"/>
    <col min="3075" max="3075" width="40.50390625" style="266" customWidth="1"/>
    <col min="3076" max="3076" width="5.50390625" style="266" customWidth="1"/>
    <col min="3077" max="3077" width="8.50390625" style="266" customWidth="1"/>
    <col min="3078" max="3078" width="9.875" style="266" customWidth="1"/>
    <col min="3079" max="3079" width="13.875" style="266" customWidth="1"/>
    <col min="3080" max="3083" width="9.125" style="266" customWidth="1"/>
    <col min="3084" max="3084" width="75.50390625" style="266" customWidth="1"/>
    <col min="3085" max="3085" width="45.375" style="266" customWidth="1"/>
    <col min="3086" max="3328" width="9.125" style="266" customWidth="1"/>
    <col min="3329" max="3329" width="4.50390625" style="266" customWidth="1"/>
    <col min="3330" max="3330" width="11.50390625" style="266" customWidth="1"/>
    <col min="3331" max="3331" width="40.50390625" style="266" customWidth="1"/>
    <col min="3332" max="3332" width="5.50390625" style="266" customWidth="1"/>
    <col min="3333" max="3333" width="8.50390625" style="266" customWidth="1"/>
    <col min="3334" max="3334" width="9.875" style="266" customWidth="1"/>
    <col min="3335" max="3335" width="13.875" style="266" customWidth="1"/>
    <col min="3336" max="3339" width="9.125" style="266" customWidth="1"/>
    <col min="3340" max="3340" width="75.50390625" style="266" customWidth="1"/>
    <col min="3341" max="3341" width="45.375" style="266" customWidth="1"/>
    <col min="3342" max="3584" width="9.125" style="266" customWidth="1"/>
    <col min="3585" max="3585" width="4.50390625" style="266" customWidth="1"/>
    <col min="3586" max="3586" width="11.50390625" style="266" customWidth="1"/>
    <col min="3587" max="3587" width="40.50390625" style="266" customWidth="1"/>
    <col min="3588" max="3588" width="5.50390625" style="266" customWidth="1"/>
    <col min="3589" max="3589" width="8.50390625" style="266" customWidth="1"/>
    <col min="3590" max="3590" width="9.875" style="266" customWidth="1"/>
    <col min="3591" max="3591" width="13.875" style="266" customWidth="1"/>
    <col min="3592" max="3595" width="9.125" style="266" customWidth="1"/>
    <col min="3596" max="3596" width="75.50390625" style="266" customWidth="1"/>
    <col min="3597" max="3597" width="45.375" style="266" customWidth="1"/>
    <col min="3598" max="3840" width="9.125" style="266" customWidth="1"/>
    <col min="3841" max="3841" width="4.50390625" style="266" customWidth="1"/>
    <col min="3842" max="3842" width="11.50390625" style="266" customWidth="1"/>
    <col min="3843" max="3843" width="40.50390625" style="266" customWidth="1"/>
    <col min="3844" max="3844" width="5.50390625" style="266" customWidth="1"/>
    <col min="3845" max="3845" width="8.50390625" style="266" customWidth="1"/>
    <col min="3846" max="3846" width="9.875" style="266" customWidth="1"/>
    <col min="3847" max="3847" width="13.875" style="266" customWidth="1"/>
    <col min="3848" max="3851" width="9.125" style="266" customWidth="1"/>
    <col min="3852" max="3852" width="75.50390625" style="266" customWidth="1"/>
    <col min="3853" max="3853" width="45.375" style="266" customWidth="1"/>
    <col min="3854" max="4096" width="9.125" style="266" customWidth="1"/>
    <col min="4097" max="4097" width="4.50390625" style="266" customWidth="1"/>
    <col min="4098" max="4098" width="11.50390625" style="266" customWidth="1"/>
    <col min="4099" max="4099" width="40.50390625" style="266" customWidth="1"/>
    <col min="4100" max="4100" width="5.50390625" style="266" customWidth="1"/>
    <col min="4101" max="4101" width="8.50390625" style="266" customWidth="1"/>
    <col min="4102" max="4102" width="9.875" style="266" customWidth="1"/>
    <col min="4103" max="4103" width="13.875" style="266" customWidth="1"/>
    <col min="4104" max="4107" width="9.125" style="266" customWidth="1"/>
    <col min="4108" max="4108" width="75.50390625" style="266" customWidth="1"/>
    <col min="4109" max="4109" width="45.375" style="266" customWidth="1"/>
    <col min="4110" max="4352" width="9.125" style="266" customWidth="1"/>
    <col min="4353" max="4353" width="4.50390625" style="266" customWidth="1"/>
    <col min="4354" max="4354" width="11.50390625" style="266" customWidth="1"/>
    <col min="4355" max="4355" width="40.50390625" style="266" customWidth="1"/>
    <col min="4356" max="4356" width="5.50390625" style="266" customWidth="1"/>
    <col min="4357" max="4357" width="8.50390625" style="266" customWidth="1"/>
    <col min="4358" max="4358" width="9.875" style="266" customWidth="1"/>
    <col min="4359" max="4359" width="13.875" style="266" customWidth="1"/>
    <col min="4360" max="4363" width="9.125" style="266" customWidth="1"/>
    <col min="4364" max="4364" width="75.50390625" style="266" customWidth="1"/>
    <col min="4365" max="4365" width="45.375" style="266" customWidth="1"/>
    <col min="4366" max="4608" width="9.125" style="266" customWidth="1"/>
    <col min="4609" max="4609" width="4.50390625" style="266" customWidth="1"/>
    <col min="4610" max="4610" width="11.50390625" style="266" customWidth="1"/>
    <col min="4611" max="4611" width="40.50390625" style="266" customWidth="1"/>
    <col min="4612" max="4612" width="5.50390625" style="266" customWidth="1"/>
    <col min="4613" max="4613" width="8.50390625" style="266" customWidth="1"/>
    <col min="4614" max="4614" width="9.875" style="266" customWidth="1"/>
    <col min="4615" max="4615" width="13.875" style="266" customWidth="1"/>
    <col min="4616" max="4619" width="9.125" style="266" customWidth="1"/>
    <col min="4620" max="4620" width="75.50390625" style="266" customWidth="1"/>
    <col min="4621" max="4621" width="45.375" style="266" customWidth="1"/>
    <col min="4622" max="4864" width="9.125" style="266" customWidth="1"/>
    <col min="4865" max="4865" width="4.50390625" style="266" customWidth="1"/>
    <col min="4866" max="4866" width="11.50390625" style="266" customWidth="1"/>
    <col min="4867" max="4867" width="40.50390625" style="266" customWidth="1"/>
    <col min="4868" max="4868" width="5.50390625" style="266" customWidth="1"/>
    <col min="4869" max="4869" width="8.50390625" style="266" customWidth="1"/>
    <col min="4870" max="4870" width="9.875" style="266" customWidth="1"/>
    <col min="4871" max="4871" width="13.875" style="266" customWidth="1"/>
    <col min="4872" max="4875" width="9.125" style="266" customWidth="1"/>
    <col min="4876" max="4876" width="75.50390625" style="266" customWidth="1"/>
    <col min="4877" max="4877" width="45.375" style="266" customWidth="1"/>
    <col min="4878" max="5120" width="9.125" style="266" customWidth="1"/>
    <col min="5121" max="5121" width="4.50390625" style="266" customWidth="1"/>
    <col min="5122" max="5122" width="11.50390625" style="266" customWidth="1"/>
    <col min="5123" max="5123" width="40.50390625" style="266" customWidth="1"/>
    <col min="5124" max="5124" width="5.50390625" style="266" customWidth="1"/>
    <col min="5125" max="5125" width="8.50390625" style="266" customWidth="1"/>
    <col min="5126" max="5126" width="9.875" style="266" customWidth="1"/>
    <col min="5127" max="5127" width="13.875" style="266" customWidth="1"/>
    <col min="5128" max="5131" width="9.125" style="266" customWidth="1"/>
    <col min="5132" max="5132" width="75.50390625" style="266" customWidth="1"/>
    <col min="5133" max="5133" width="45.375" style="266" customWidth="1"/>
    <col min="5134" max="5376" width="9.125" style="266" customWidth="1"/>
    <col min="5377" max="5377" width="4.50390625" style="266" customWidth="1"/>
    <col min="5378" max="5378" width="11.50390625" style="266" customWidth="1"/>
    <col min="5379" max="5379" width="40.50390625" style="266" customWidth="1"/>
    <col min="5380" max="5380" width="5.50390625" style="266" customWidth="1"/>
    <col min="5381" max="5381" width="8.50390625" style="266" customWidth="1"/>
    <col min="5382" max="5382" width="9.875" style="266" customWidth="1"/>
    <col min="5383" max="5383" width="13.875" style="266" customWidth="1"/>
    <col min="5384" max="5387" width="9.125" style="266" customWidth="1"/>
    <col min="5388" max="5388" width="75.50390625" style="266" customWidth="1"/>
    <col min="5389" max="5389" width="45.375" style="266" customWidth="1"/>
    <col min="5390" max="5632" width="9.125" style="266" customWidth="1"/>
    <col min="5633" max="5633" width="4.50390625" style="266" customWidth="1"/>
    <col min="5634" max="5634" width="11.50390625" style="266" customWidth="1"/>
    <col min="5635" max="5635" width="40.50390625" style="266" customWidth="1"/>
    <col min="5636" max="5636" width="5.50390625" style="266" customWidth="1"/>
    <col min="5637" max="5637" width="8.50390625" style="266" customWidth="1"/>
    <col min="5638" max="5638" width="9.875" style="266" customWidth="1"/>
    <col min="5639" max="5639" width="13.875" style="266" customWidth="1"/>
    <col min="5640" max="5643" width="9.125" style="266" customWidth="1"/>
    <col min="5644" max="5644" width="75.50390625" style="266" customWidth="1"/>
    <col min="5645" max="5645" width="45.375" style="266" customWidth="1"/>
    <col min="5646" max="5888" width="9.125" style="266" customWidth="1"/>
    <col min="5889" max="5889" width="4.50390625" style="266" customWidth="1"/>
    <col min="5890" max="5890" width="11.50390625" style="266" customWidth="1"/>
    <col min="5891" max="5891" width="40.50390625" style="266" customWidth="1"/>
    <col min="5892" max="5892" width="5.50390625" style="266" customWidth="1"/>
    <col min="5893" max="5893" width="8.50390625" style="266" customWidth="1"/>
    <col min="5894" max="5894" width="9.875" style="266" customWidth="1"/>
    <col min="5895" max="5895" width="13.875" style="266" customWidth="1"/>
    <col min="5896" max="5899" width="9.125" style="266" customWidth="1"/>
    <col min="5900" max="5900" width="75.50390625" style="266" customWidth="1"/>
    <col min="5901" max="5901" width="45.375" style="266" customWidth="1"/>
    <col min="5902" max="6144" width="9.125" style="266" customWidth="1"/>
    <col min="6145" max="6145" width="4.50390625" style="266" customWidth="1"/>
    <col min="6146" max="6146" width="11.50390625" style="266" customWidth="1"/>
    <col min="6147" max="6147" width="40.50390625" style="266" customWidth="1"/>
    <col min="6148" max="6148" width="5.50390625" style="266" customWidth="1"/>
    <col min="6149" max="6149" width="8.50390625" style="266" customWidth="1"/>
    <col min="6150" max="6150" width="9.875" style="266" customWidth="1"/>
    <col min="6151" max="6151" width="13.875" style="266" customWidth="1"/>
    <col min="6152" max="6155" width="9.125" style="266" customWidth="1"/>
    <col min="6156" max="6156" width="75.50390625" style="266" customWidth="1"/>
    <col min="6157" max="6157" width="45.375" style="266" customWidth="1"/>
    <col min="6158" max="6400" width="9.125" style="266" customWidth="1"/>
    <col min="6401" max="6401" width="4.50390625" style="266" customWidth="1"/>
    <col min="6402" max="6402" width="11.50390625" style="266" customWidth="1"/>
    <col min="6403" max="6403" width="40.50390625" style="266" customWidth="1"/>
    <col min="6404" max="6404" width="5.50390625" style="266" customWidth="1"/>
    <col min="6405" max="6405" width="8.50390625" style="266" customWidth="1"/>
    <col min="6406" max="6406" width="9.875" style="266" customWidth="1"/>
    <col min="6407" max="6407" width="13.875" style="266" customWidth="1"/>
    <col min="6408" max="6411" width="9.125" style="266" customWidth="1"/>
    <col min="6412" max="6412" width="75.50390625" style="266" customWidth="1"/>
    <col min="6413" max="6413" width="45.375" style="266" customWidth="1"/>
    <col min="6414" max="6656" width="9.125" style="266" customWidth="1"/>
    <col min="6657" max="6657" width="4.50390625" style="266" customWidth="1"/>
    <col min="6658" max="6658" width="11.50390625" style="266" customWidth="1"/>
    <col min="6659" max="6659" width="40.50390625" style="266" customWidth="1"/>
    <col min="6660" max="6660" width="5.50390625" style="266" customWidth="1"/>
    <col min="6661" max="6661" width="8.50390625" style="266" customWidth="1"/>
    <col min="6662" max="6662" width="9.875" style="266" customWidth="1"/>
    <col min="6663" max="6663" width="13.875" style="266" customWidth="1"/>
    <col min="6664" max="6667" width="9.125" style="266" customWidth="1"/>
    <col min="6668" max="6668" width="75.50390625" style="266" customWidth="1"/>
    <col min="6669" max="6669" width="45.375" style="266" customWidth="1"/>
    <col min="6670" max="6912" width="9.125" style="266" customWidth="1"/>
    <col min="6913" max="6913" width="4.50390625" style="266" customWidth="1"/>
    <col min="6914" max="6914" width="11.50390625" style="266" customWidth="1"/>
    <col min="6915" max="6915" width="40.50390625" style="266" customWidth="1"/>
    <col min="6916" max="6916" width="5.50390625" style="266" customWidth="1"/>
    <col min="6917" max="6917" width="8.50390625" style="266" customWidth="1"/>
    <col min="6918" max="6918" width="9.875" style="266" customWidth="1"/>
    <col min="6919" max="6919" width="13.875" style="266" customWidth="1"/>
    <col min="6920" max="6923" width="9.125" style="266" customWidth="1"/>
    <col min="6924" max="6924" width="75.50390625" style="266" customWidth="1"/>
    <col min="6925" max="6925" width="45.375" style="266" customWidth="1"/>
    <col min="6926" max="7168" width="9.125" style="266" customWidth="1"/>
    <col min="7169" max="7169" width="4.50390625" style="266" customWidth="1"/>
    <col min="7170" max="7170" width="11.50390625" style="266" customWidth="1"/>
    <col min="7171" max="7171" width="40.50390625" style="266" customWidth="1"/>
    <col min="7172" max="7172" width="5.50390625" style="266" customWidth="1"/>
    <col min="7173" max="7173" width="8.50390625" style="266" customWidth="1"/>
    <col min="7174" max="7174" width="9.875" style="266" customWidth="1"/>
    <col min="7175" max="7175" width="13.875" style="266" customWidth="1"/>
    <col min="7176" max="7179" width="9.125" style="266" customWidth="1"/>
    <col min="7180" max="7180" width="75.50390625" style="266" customWidth="1"/>
    <col min="7181" max="7181" width="45.375" style="266" customWidth="1"/>
    <col min="7182" max="7424" width="9.125" style="266" customWidth="1"/>
    <col min="7425" max="7425" width="4.50390625" style="266" customWidth="1"/>
    <col min="7426" max="7426" width="11.50390625" style="266" customWidth="1"/>
    <col min="7427" max="7427" width="40.50390625" style="266" customWidth="1"/>
    <col min="7428" max="7428" width="5.50390625" style="266" customWidth="1"/>
    <col min="7429" max="7429" width="8.50390625" style="266" customWidth="1"/>
    <col min="7430" max="7430" width="9.875" style="266" customWidth="1"/>
    <col min="7431" max="7431" width="13.875" style="266" customWidth="1"/>
    <col min="7432" max="7435" width="9.125" style="266" customWidth="1"/>
    <col min="7436" max="7436" width="75.50390625" style="266" customWidth="1"/>
    <col min="7437" max="7437" width="45.375" style="266" customWidth="1"/>
    <col min="7438" max="7680" width="9.125" style="266" customWidth="1"/>
    <col min="7681" max="7681" width="4.50390625" style="266" customWidth="1"/>
    <col min="7682" max="7682" width="11.50390625" style="266" customWidth="1"/>
    <col min="7683" max="7683" width="40.50390625" style="266" customWidth="1"/>
    <col min="7684" max="7684" width="5.50390625" style="266" customWidth="1"/>
    <col min="7685" max="7685" width="8.50390625" style="266" customWidth="1"/>
    <col min="7686" max="7686" width="9.875" style="266" customWidth="1"/>
    <col min="7687" max="7687" width="13.875" style="266" customWidth="1"/>
    <col min="7688" max="7691" width="9.125" style="266" customWidth="1"/>
    <col min="7692" max="7692" width="75.50390625" style="266" customWidth="1"/>
    <col min="7693" max="7693" width="45.375" style="266" customWidth="1"/>
    <col min="7694" max="7936" width="9.125" style="266" customWidth="1"/>
    <col min="7937" max="7937" width="4.50390625" style="266" customWidth="1"/>
    <col min="7938" max="7938" width="11.50390625" style="266" customWidth="1"/>
    <col min="7939" max="7939" width="40.50390625" style="266" customWidth="1"/>
    <col min="7940" max="7940" width="5.50390625" style="266" customWidth="1"/>
    <col min="7941" max="7941" width="8.50390625" style="266" customWidth="1"/>
    <col min="7942" max="7942" width="9.875" style="266" customWidth="1"/>
    <col min="7943" max="7943" width="13.875" style="266" customWidth="1"/>
    <col min="7944" max="7947" width="9.125" style="266" customWidth="1"/>
    <col min="7948" max="7948" width="75.50390625" style="266" customWidth="1"/>
    <col min="7949" max="7949" width="45.375" style="266" customWidth="1"/>
    <col min="7950" max="8192" width="9.125" style="266" customWidth="1"/>
    <col min="8193" max="8193" width="4.50390625" style="266" customWidth="1"/>
    <col min="8194" max="8194" width="11.50390625" style="266" customWidth="1"/>
    <col min="8195" max="8195" width="40.50390625" style="266" customWidth="1"/>
    <col min="8196" max="8196" width="5.50390625" style="266" customWidth="1"/>
    <col min="8197" max="8197" width="8.50390625" style="266" customWidth="1"/>
    <col min="8198" max="8198" width="9.875" style="266" customWidth="1"/>
    <col min="8199" max="8199" width="13.875" style="266" customWidth="1"/>
    <col min="8200" max="8203" width="9.125" style="266" customWidth="1"/>
    <col min="8204" max="8204" width="75.50390625" style="266" customWidth="1"/>
    <col min="8205" max="8205" width="45.375" style="266" customWidth="1"/>
    <col min="8206" max="8448" width="9.125" style="266" customWidth="1"/>
    <col min="8449" max="8449" width="4.50390625" style="266" customWidth="1"/>
    <col min="8450" max="8450" width="11.50390625" style="266" customWidth="1"/>
    <col min="8451" max="8451" width="40.50390625" style="266" customWidth="1"/>
    <col min="8452" max="8452" width="5.50390625" style="266" customWidth="1"/>
    <col min="8453" max="8453" width="8.50390625" style="266" customWidth="1"/>
    <col min="8454" max="8454" width="9.875" style="266" customWidth="1"/>
    <col min="8455" max="8455" width="13.875" style="266" customWidth="1"/>
    <col min="8456" max="8459" width="9.125" style="266" customWidth="1"/>
    <col min="8460" max="8460" width="75.50390625" style="266" customWidth="1"/>
    <col min="8461" max="8461" width="45.375" style="266" customWidth="1"/>
    <col min="8462" max="8704" width="9.125" style="266" customWidth="1"/>
    <col min="8705" max="8705" width="4.50390625" style="266" customWidth="1"/>
    <col min="8706" max="8706" width="11.50390625" style="266" customWidth="1"/>
    <col min="8707" max="8707" width="40.50390625" style="266" customWidth="1"/>
    <col min="8708" max="8708" width="5.50390625" style="266" customWidth="1"/>
    <col min="8709" max="8709" width="8.50390625" style="266" customWidth="1"/>
    <col min="8710" max="8710" width="9.875" style="266" customWidth="1"/>
    <col min="8711" max="8711" width="13.875" style="266" customWidth="1"/>
    <col min="8712" max="8715" width="9.125" style="266" customWidth="1"/>
    <col min="8716" max="8716" width="75.50390625" style="266" customWidth="1"/>
    <col min="8717" max="8717" width="45.375" style="266" customWidth="1"/>
    <col min="8718" max="8960" width="9.125" style="266" customWidth="1"/>
    <col min="8961" max="8961" width="4.50390625" style="266" customWidth="1"/>
    <col min="8962" max="8962" width="11.50390625" style="266" customWidth="1"/>
    <col min="8963" max="8963" width="40.50390625" style="266" customWidth="1"/>
    <col min="8964" max="8964" width="5.50390625" style="266" customWidth="1"/>
    <col min="8965" max="8965" width="8.50390625" style="266" customWidth="1"/>
    <col min="8966" max="8966" width="9.875" style="266" customWidth="1"/>
    <col min="8967" max="8967" width="13.875" style="266" customWidth="1"/>
    <col min="8968" max="8971" width="9.125" style="266" customWidth="1"/>
    <col min="8972" max="8972" width="75.50390625" style="266" customWidth="1"/>
    <col min="8973" max="8973" width="45.375" style="266" customWidth="1"/>
    <col min="8974" max="9216" width="9.125" style="266" customWidth="1"/>
    <col min="9217" max="9217" width="4.50390625" style="266" customWidth="1"/>
    <col min="9218" max="9218" width="11.50390625" style="266" customWidth="1"/>
    <col min="9219" max="9219" width="40.50390625" style="266" customWidth="1"/>
    <col min="9220" max="9220" width="5.50390625" style="266" customWidth="1"/>
    <col min="9221" max="9221" width="8.50390625" style="266" customWidth="1"/>
    <col min="9222" max="9222" width="9.875" style="266" customWidth="1"/>
    <col min="9223" max="9223" width="13.875" style="266" customWidth="1"/>
    <col min="9224" max="9227" width="9.125" style="266" customWidth="1"/>
    <col min="9228" max="9228" width="75.50390625" style="266" customWidth="1"/>
    <col min="9229" max="9229" width="45.375" style="266" customWidth="1"/>
    <col min="9230" max="9472" width="9.125" style="266" customWidth="1"/>
    <col min="9473" max="9473" width="4.50390625" style="266" customWidth="1"/>
    <col min="9474" max="9474" width="11.50390625" style="266" customWidth="1"/>
    <col min="9475" max="9475" width="40.50390625" style="266" customWidth="1"/>
    <col min="9476" max="9476" width="5.50390625" style="266" customWidth="1"/>
    <col min="9477" max="9477" width="8.50390625" style="266" customWidth="1"/>
    <col min="9478" max="9478" width="9.875" style="266" customWidth="1"/>
    <col min="9479" max="9479" width="13.875" style="266" customWidth="1"/>
    <col min="9480" max="9483" width="9.125" style="266" customWidth="1"/>
    <col min="9484" max="9484" width="75.50390625" style="266" customWidth="1"/>
    <col min="9485" max="9485" width="45.375" style="266" customWidth="1"/>
    <col min="9486" max="9728" width="9.125" style="266" customWidth="1"/>
    <col min="9729" max="9729" width="4.50390625" style="266" customWidth="1"/>
    <col min="9730" max="9730" width="11.50390625" style="266" customWidth="1"/>
    <col min="9731" max="9731" width="40.50390625" style="266" customWidth="1"/>
    <col min="9732" max="9732" width="5.50390625" style="266" customWidth="1"/>
    <col min="9733" max="9733" width="8.50390625" style="266" customWidth="1"/>
    <col min="9734" max="9734" width="9.875" style="266" customWidth="1"/>
    <col min="9735" max="9735" width="13.875" style="266" customWidth="1"/>
    <col min="9736" max="9739" width="9.125" style="266" customWidth="1"/>
    <col min="9740" max="9740" width="75.50390625" style="266" customWidth="1"/>
    <col min="9741" max="9741" width="45.375" style="266" customWidth="1"/>
    <col min="9742" max="9984" width="9.125" style="266" customWidth="1"/>
    <col min="9985" max="9985" width="4.50390625" style="266" customWidth="1"/>
    <col min="9986" max="9986" width="11.50390625" style="266" customWidth="1"/>
    <col min="9987" max="9987" width="40.50390625" style="266" customWidth="1"/>
    <col min="9988" max="9988" width="5.50390625" style="266" customWidth="1"/>
    <col min="9989" max="9989" width="8.50390625" style="266" customWidth="1"/>
    <col min="9990" max="9990" width="9.875" style="266" customWidth="1"/>
    <col min="9991" max="9991" width="13.875" style="266" customWidth="1"/>
    <col min="9992" max="9995" width="9.125" style="266" customWidth="1"/>
    <col min="9996" max="9996" width="75.50390625" style="266" customWidth="1"/>
    <col min="9997" max="9997" width="45.375" style="266" customWidth="1"/>
    <col min="9998" max="10240" width="9.125" style="266" customWidth="1"/>
    <col min="10241" max="10241" width="4.50390625" style="266" customWidth="1"/>
    <col min="10242" max="10242" width="11.50390625" style="266" customWidth="1"/>
    <col min="10243" max="10243" width="40.50390625" style="266" customWidth="1"/>
    <col min="10244" max="10244" width="5.50390625" style="266" customWidth="1"/>
    <col min="10245" max="10245" width="8.50390625" style="266" customWidth="1"/>
    <col min="10246" max="10246" width="9.875" style="266" customWidth="1"/>
    <col min="10247" max="10247" width="13.875" style="266" customWidth="1"/>
    <col min="10248" max="10251" width="9.125" style="266" customWidth="1"/>
    <col min="10252" max="10252" width="75.50390625" style="266" customWidth="1"/>
    <col min="10253" max="10253" width="45.375" style="266" customWidth="1"/>
    <col min="10254" max="10496" width="9.125" style="266" customWidth="1"/>
    <col min="10497" max="10497" width="4.50390625" style="266" customWidth="1"/>
    <col min="10498" max="10498" width="11.50390625" style="266" customWidth="1"/>
    <col min="10499" max="10499" width="40.50390625" style="266" customWidth="1"/>
    <col min="10500" max="10500" width="5.50390625" style="266" customWidth="1"/>
    <col min="10501" max="10501" width="8.50390625" style="266" customWidth="1"/>
    <col min="10502" max="10502" width="9.875" style="266" customWidth="1"/>
    <col min="10503" max="10503" width="13.875" style="266" customWidth="1"/>
    <col min="10504" max="10507" width="9.125" style="266" customWidth="1"/>
    <col min="10508" max="10508" width="75.50390625" style="266" customWidth="1"/>
    <col min="10509" max="10509" width="45.375" style="266" customWidth="1"/>
    <col min="10510" max="10752" width="9.125" style="266" customWidth="1"/>
    <col min="10753" max="10753" width="4.50390625" style="266" customWidth="1"/>
    <col min="10754" max="10754" width="11.50390625" style="266" customWidth="1"/>
    <col min="10755" max="10755" width="40.50390625" style="266" customWidth="1"/>
    <col min="10756" max="10756" width="5.50390625" style="266" customWidth="1"/>
    <col min="10757" max="10757" width="8.50390625" style="266" customWidth="1"/>
    <col min="10758" max="10758" width="9.875" style="266" customWidth="1"/>
    <col min="10759" max="10759" width="13.875" style="266" customWidth="1"/>
    <col min="10760" max="10763" width="9.125" style="266" customWidth="1"/>
    <col min="10764" max="10764" width="75.50390625" style="266" customWidth="1"/>
    <col min="10765" max="10765" width="45.375" style="266" customWidth="1"/>
    <col min="10766" max="11008" width="9.125" style="266" customWidth="1"/>
    <col min="11009" max="11009" width="4.50390625" style="266" customWidth="1"/>
    <col min="11010" max="11010" width="11.50390625" style="266" customWidth="1"/>
    <col min="11011" max="11011" width="40.50390625" style="266" customWidth="1"/>
    <col min="11012" max="11012" width="5.50390625" style="266" customWidth="1"/>
    <col min="11013" max="11013" width="8.50390625" style="266" customWidth="1"/>
    <col min="11014" max="11014" width="9.875" style="266" customWidth="1"/>
    <col min="11015" max="11015" width="13.875" style="266" customWidth="1"/>
    <col min="11016" max="11019" width="9.125" style="266" customWidth="1"/>
    <col min="11020" max="11020" width="75.50390625" style="266" customWidth="1"/>
    <col min="11021" max="11021" width="45.375" style="266" customWidth="1"/>
    <col min="11022" max="11264" width="9.125" style="266" customWidth="1"/>
    <col min="11265" max="11265" width="4.50390625" style="266" customWidth="1"/>
    <col min="11266" max="11266" width="11.50390625" style="266" customWidth="1"/>
    <col min="11267" max="11267" width="40.50390625" style="266" customWidth="1"/>
    <col min="11268" max="11268" width="5.50390625" style="266" customWidth="1"/>
    <col min="11269" max="11269" width="8.50390625" style="266" customWidth="1"/>
    <col min="11270" max="11270" width="9.875" style="266" customWidth="1"/>
    <col min="11271" max="11271" width="13.875" style="266" customWidth="1"/>
    <col min="11272" max="11275" width="9.125" style="266" customWidth="1"/>
    <col min="11276" max="11276" width="75.50390625" style="266" customWidth="1"/>
    <col min="11277" max="11277" width="45.375" style="266" customWidth="1"/>
    <col min="11278" max="11520" width="9.125" style="266" customWidth="1"/>
    <col min="11521" max="11521" width="4.50390625" style="266" customWidth="1"/>
    <col min="11522" max="11522" width="11.50390625" style="266" customWidth="1"/>
    <col min="11523" max="11523" width="40.50390625" style="266" customWidth="1"/>
    <col min="11524" max="11524" width="5.50390625" style="266" customWidth="1"/>
    <col min="11525" max="11525" width="8.50390625" style="266" customWidth="1"/>
    <col min="11526" max="11526" width="9.875" style="266" customWidth="1"/>
    <col min="11527" max="11527" width="13.875" style="266" customWidth="1"/>
    <col min="11528" max="11531" width="9.125" style="266" customWidth="1"/>
    <col min="11532" max="11532" width="75.50390625" style="266" customWidth="1"/>
    <col min="11533" max="11533" width="45.375" style="266" customWidth="1"/>
    <col min="11534" max="11776" width="9.125" style="266" customWidth="1"/>
    <col min="11777" max="11777" width="4.50390625" style="266" customWidth="1"/>
    <col min="11778" max="11778" width="11.50390625" style="266" customWidth="1"/>
    <col min="11779" max="11779" width="40.50390625" style="266" customWidth="1"/>
    <col min="11780" max="11780" width="5.50390625" style="266" customWidth="1"/>
    <col min="11781" max="11781" width="8.50390625" style="266" customWidth="1"/>
    <col min="11782" max="11782" width="9.875" style="266" customWidth="1"/>
    <col min="11783" max="11783" width="13.875" style="266" customWidth="1"/>
    <col min="11784" max="11787" width="9.125" style="266" customWidth="1"/>
    <col min="11788" max="11788" width="75.50390625" style="266" customWidth="1"/>
    <col min="11789" max="11789" width="45.375" style="266" customWidth="1"/>
    <col min="11790" max="12032" width="9.125" style="266" customWidth="1"/>
    <col min="12033" max="12033" width="4.50390625" style="266" customWidth="1"/>
    <col min="12034" max="12034" width="11.50390625" style="266" customWidth="1"/>
    <col min="12035" max="12035" width="40.50390625" style="266" customWidth="1"/>
    <col min="12036" max="12036" width="5.50390625" style="266" customWidth="1"/>
    <col min="12037" max="12037" width="8.50390625" style="266" customWidth="1"/>
    <col min="12038" max="12038" width="9.875" style="266" customWidth="1"/>
    <col min="12039" max="12039" width="13.875" style="266" customWidth="1"/>
    <col min="12040" max="12043" width="9.125" style="266" customWidth="1"/>
    <col min="12044" max="12044" width="75.50390625" style="266" customWidth="1"/>
    <col min="12045" max="12045" width="45.375" style="266" customWidth="1"/>
    <col min="12046" max="12288" width="9.125" style="266" customWidth="1"/>
    <col min="12289" max="12289" width="4.50390625" style="266" customWidth="1"/>
    <col min="12290" max="12290" width="11.50390625" style="266" customWidth="1"/>
    <col min="12291" max="12291" width="40.50390625" style="266" customWidth="1"/>
    <col min="12292" max="12292" width="5.50390625" style="266" customWidth="1"/>
    <col min="12293" max="12293" width="8.50390625" style="266" customWidth="1"/>
    <col min="12294" max="12294" width="9.875" style="266" customWidth="1"/>
    <col min="12295" max="12295" width="13.875" style="266" customWidth="1"/>
    <col min="12296" max="12299" width="9.125" style="266" customWidth="1"/>
    <col min="12300" max="12300" width="75.50390625" style="266" customWidth="1"/>
    <col min="12301" max="12301" width="45.375" style="266" customWidth="1"/>
    <col min="12302" max="12544" width="9.125" style="266" customWidth="1"/>
    <col min="12545" max="12545" width="4.50390625" style="266" customWidth="1"/>
    <col min="12546" max="12546" width="11.50390625" style="266" customWidth="1"/>
    <col min="12547" max="12547" width="40.50390625" style="266" customWidth="1"/>
    <col min="12548" max="12548" width="5.50390625" style="266" customWidth="1"/>
    <col min="12549" max="12549" width="8.50390625" style="266" customWidth="1"/>
    <col min="12550" max="12550" width="9.875" style="266" customWidth="1"/>
    <col min="12551" max="12551" width="13.875" style="266" customWidth="1"/>
    <col min="12552" max="12555" width="9.125" style="266" customWidth="1"/>
    <col min="12556" max="12556" width="75.50390625" style="266" customWidth="1"/>
    <col min="12557" max="12557" width="45.375" style="266" customWidth="1"/>
    <col min="12558" max="12800" width="9.125" style="266" customWidth="1"/>
    <col min="12801" max="12801" width="4.50390625" style="266" customWidth="1"/>
    <col min="12802" max="12802" width="11.50390625" style="266" customWidth="1"/>
    <col min="12803" max="12803" width="40.50390625" style="266" customWidth="1"/>
    <col min="12804" max="12804" width="5.50390625" style="266" customWidth="1"/>
    <col min="12805" max="12805" width="8.50390625" style="266" customWidth="1"/>
    <col min="12806" max="12806" width="9.875" style="266" customWidth="1"/>
    <col min="12807" max="12807" width="13.875" style="266" customWidth="1"/>
    <col min="12808" max="12811" width="9.125" style="266" customWidth="1"/>
    <col min="12812" max="12812" width="75.50390625" style="266" customWidth="1"/>
    <col min="12813" max="12813" width="45.375" style="266" customWidth="1"/>
    <col min="12814" max="13056" width="9.125" style="266" customWidth="1"/>
    <col min="13057" max="13057" width="4.50390625" style="266" customWidth="1"/>
    <col min="13058" max="13058" width="11.50390625" style="266" customWidth="1"/>
    <col min="13059" max="13059" width="40.50390625" style="266" customWidth="1"/>
    <col min="13060" max="13060" width="5.50390625" style="266" customWidth="1"/>
    <col min="13061" max="13061" width="8.50390625" style="266" customWidth="1"/>
    <col min="13062" max="13062" width="9.875" style="266" customWidth="1"/>
    <col min="13063" max="13063" width="13.875" style="266" customWidth="1"/>
    <col min="13064" max="13067" width="9.125" style="266" customWidth="1"/>
    <col min="13068" max="13068" width="75.50390625" style="266" customWidth="1"/>
    <col min="13069" max="13069" width="45.375" style="266" customWidth="1"/>
    <col min="13070" max="13312" width="9.125" style="266" customWidth="1"/>
    <col min="13313" max="13313" width="4.50390625" style="266" customWidth="1"/>
    <col min="13314" max="13314" width="11.50390625" style="266" customWidth="1"/>
    <col min="13315" max="13315" width="40.50390625" style="266" customWidth="1"/>
    <col min="13316" max="13316" width="5.50390625" style="266" customWidth="1"/>
    <col min="13317" max="13317" width="8.50390625" style="266" customWidth="1"/>
    <col min="13318" max="13318" width="9.875" style="266" customWidth="1"/>
    <col min="13319" max="13319" width="13.875" style="266" customWidth="1"/>
    <col min="13320" max="13323" width="9.125" style="266" customWidth="1"/>
    <col min="13324" max="13324" width="75.50390625" style="266" customWidth="1"/>
    <col min="13325" max="13325" width="45.375" style="266" customWidth="1"/>
    <col min="13326" max="13568" width="9.125" style="266" customWidth="1"/>
    <col min="13569" max="13569" width="4.50390625" style="266" customWidth="1"/>
    <col min="13570" max="13570" width="11.50390625" style="266" customWidth="1"/>
    <col min="13571" max="13571" width="40.50390625" style="266" customWidth="1"/>
    <col min="13572" max="13572" width="5.50390625" style="266" customWidth="1"/>
    <col min="13573" max="13573" width="8.50390625" style="266" customWidth="1"/>
    <col min="13574" max="13574" width="9.875" style="266" customWidth="1"/>
    <col min="13575" max="13575" width="13.875" style="266" customWidth="1"/>
    <col min="13576" max="13579" width="9.125" style="266" customWidth="1"/>
    <col min="13580" max="13580" width="75.50390625" style="266" customWidth="1"/>
    <col min="13581" max="13581" width="45.375" style="266" customWidth="1"/>
    <col min="13582" max="13824" width="9.125" style="266" customWidth="1"/>
    <col min="13825" max="13825" width="4.50390625" style="266" customWidth="1"/>
    <col min="13826" max="13826" width="11.50390625" style="266" customWidth="1"/>
    <col min="13827" max="13827" width="40.50390625" style="266" customWidth="1"/>
    <col min="13828" max="13828" width="5.50390625" style="266" customWidth="1"/>
    <col min="13829" max="13829" width="8.50390625" style="266" customWidth="1"/>
    <col min="13830" max="13830" width="9.875" style="266" customWidth="1"/>
    <col min="13831" max="13831" width="13.875" style="266" customWidth="1"/>
    <col min="13832" max="13835" width="9.125" style="266" customWidth="1"/>
    <col min="13836" max="13836" width="75.50390625" style="266" customWidth="1"/>
    <col min="13837" max="13837" width="45.375" style="266" customWidth="1"/>
    <col min="13838" max="14080" width="9.125" style="266" customWidth="1"/>
    <col min="14081" max="14081" width="4.50390625" style="266" customWidth="1"/>
    <col min="14082" max="14082" width="11.50390625" style="266" customWidth="1"/>
    <col min="14083" max="14083" width="40.50390625" style="266" customWidth="1"/>
    <col min="14084" max="14084" width="5.50390625" style="266" customWidth="1"/>
    <col min="14085" max="14085" width="8.50390625" style="266" customWidth="1"/>
    <col min="14086" max="14086" width="9.875" style="266" customWidth="1"/>
    <col min="14087" max="14087" width="13.875" style="266" customWidth="1"/>
    <col min="14088" max="14091" width="9.125" style="266" customWidth="1"/>
    <col min="14092" max="14092" width="75.50390625" style="266" customWidth="1"/>
    <col min="14093" max="14093" width="45.375" style="266" customWidth="1"/>
    <col min="14094" max="14336" width="9.125" style="266" customWidth="1"/>
    <col min="14337" max="14337" width="4.50390625" style="266" customWidth="1"/>
    <col min="14338" max="14338" width="11.50390625" style="266" customWidth="1"/>
    <col min="14339" max="14339" width="40.50390625" style="266" customWidth="1"/>
    <col min="14340" max="14340" width="5.50390625" style="266" customWidth="1"/>
    <col min="14341" max="14341" width="8.50390625" style="266" customWidth="1"/>
    <col min="14342" max="14342" width="9.875" style="266" customWidth="1"/>
    <col min="14343" max="14343" width="13.875" style="266" customWidth="1"/>
    <col min="14344" max="14347" width="9.125" style="266" customWidth="1"/>
    <col min="14348" max="14348" width="75.50390625" style="266" customWidth="1"/>
    <col min="14349" max="14349" width="45.375" style="266" customWidth="1"/>
    <col min="14350" max="14592" width="9.125" style="266" customWidth="1"/>
    <col min="14593" max="14593" width="4.50390625" style="266" customWidth="1"/>
    <col min="14594" max="14594" width="11.50390625" style="266" customWidth="1"/>
    <col min="14595" max="14595" width="40.50390625" style="266" customWidth="1"/>
    <col min="14596" max="14596" width="5.50390625" style="266" customWidth="1"/>
    <col min="14597" max="14597" width="8.50390625" style="266" customWidth="1"/>
    <col min="14598" max="14598" width="9.875" style="266" customWidth="1"/>
    <col min="14599" max="14599" width="13.875" style="266" customWidth="1"/>
    <col min="14600" max="14603" width="9.125" style="266" customWidth="1"/>
    <col min="14604" max="14604" width="75.50390625" style="266" customWidth="1"/>
    <col min="14605" max="14605" width="45.375" style="266" customWidth="1"/>
    <col min="14606" max="14848" width="9.125" style="266" customWidth="1"/>
    <col min="14849" max="14849" width="4.50390625" style="266" customWidth="1"/>
    <col min="14850" max="14850" width="11.50390625" style="266" customWidth="1"/>
    <col min="14851" max="14851" width="40.50390625" style="266" customWidth="1"/>
    <col min="14852" max="14852" width="5.50390625" style="266" customWidth="1"/>
    <col min="14853" max="14853" width="8.50390625" style="266" customWidth="1"/>
    <col min="14854" max="14854" width="9.875" style="266" customWidth="1"/>
    <col min="14855" max="14855" width="13.875" style="266" customWidth="1"/>
    <col min="14856" max="14859" width="9.125" style="266" customWidth="1"/>
    <col min="14860" max="14860" width="75.50390625" style="266" customWidth="1"/>
    <col min="14861" max="14861" width="45.375" style="266" customWidth="1"/>
    <col min="14862" max="15104" width="9.125" style="266" customWidth="1"/>
    <col min="15105" max="15105" width="4.50390625" style="266" customWidth="1"/>
    <col min="15106" max="15106" width="11.50390625" style="266" customWidth="1"/>
    <col min="15107" max="15107" width="40.50390625" style="266" customWidth="1"/>
    <col min="15108" max="15108" width="5.50390625" style="266" customWidth="1"/>
    <col min="15109" max="15109" width="8.50390625" style="266" customWidth="1"/>
    <col min="15110" max="15110" width="9.875" style="266" customWidth="1"/>
    <col min="15111" max="15111" width="13.875" style="266" customWidth="1"/>
    <col min="15112" max="15115" width="9.125" style="266" customWidth="1"/>
    <col min="15116" max="15116" width="75.50390625" style="266" customWidth="1"/>
    <col min="15117" max="15117" width="45.375" style="266" customWidth="1"/>
    <col min="15118" max="15360" width="9.125" style="266" customWidth="1"/>
    <col min="15361" max="15361" width="4.50390625" style="266" customWidth="1"/>
    <col min="15362" max="15362" width="11.50390625" style="266" customWidth="1"/>
    <col min="15363" max="15363" width="40.50390625" style="266" customWidth="1"/>
    <col min="15364" max="15364" width="5.50390625" style="266" customWidth="1"/>
    <col min="15365" max="15365" width="8.50390625" style="266" customWidth="1"/>
    <col min="15366" max="15366" width="9.875" style="266" customWidth="1"/>
    <col min="15367" max="15367" width="13.875" style="266" customWidth="1"/>
    <col min="15368" max="15371" width="9.125" style="266" customWidth="1"/>
    <col min="15372" max="15372" width="75.50390625" style="266" customWidth="1"/>
    <col min="15373" max="15373" width="45.375" style="266" customWidth="1"/>
    <col min="15374" max="15616" width="9.125" style="266" customWidth="1"/>
    <col min="15617" max="15617" width="4.50390625" style="266" customWidth="1"/>
    <col min="15618" max="15618" width="11.50390625" style="266" customWidth="1"/>
    <col min="15619" max="15619" width="40.50390625" style="266" customWidth="1"/>
    <col min="15620" max="15620" width="5.50390625" style="266" customWidth="1"/>
    <col min="15621" max="15621" width="8.50390625" style="266" customWidth="1"/>
    <col min="15622" max="15622" width="9.875" style="266" customWidth="1"/>
    <col min="15623" max="15623" width="13.875" style="266" customWidth="1"/>
    <col min="15624" max="15627" width="9.125" style="266" customWidth="1"/>
    <col min="15628" max="15628" width="75.50390625" style="266" customWidth="1"/>
    <col min="15629" max="15629" width="45.375" style="266" customWidth="1"/>
    <col min="15630" max="15872" width="9.125" style="266" customWidth="1"/>
    <col min="15873" max="15873" width="4.50390625" style="266" customWidth="1"/>
    <col min="15874" max="15874" width="11.50390625" style="266" customWidth="1"/>
    <col min="15875" max="15875" width="40.50390625" style="266" customWidth="1"/>
    <col min="15876" max="15876" width="5.50390625" style="266" customWidth="1"/>
    <col min="15877" max="15877" width="8.50390625" style="266" customWidth="1"/>
    <col min="15878" max="15878" width="9.875" style="266" customWidth="1"/>
    <col min="15879" max="15879" width="13.875" style="266" customWidth="1"/>
    <col min="15880" max="15883" width="9.125" style="266" customWidth="1"/>
    <col min="15884" max="15884" width="75.50390625" style="266" customWidth="1"/>
    <col min="15885" max="15885" width="45.375" style="266" customWidth="1"/>
    <col min="15886" max="16128" width="9.125" style="266" customWidth="1"/>
    <col min="16129" max="16129" width="4.50390625" style="266" customWidth="1"/>
    <col min="16130" max="16130" width="11.50390625" style="266" customWidth="1"/>
    <col min="16131" max="16131" width="40.50390625" style="266" customWidth="1"/>
    <col min="16132" max="16132" width="5.50390625" style="266" customWidth="1"/>
    <col min="16133" max="16133" width="8.50390625" style="266" customWidth="1"/>
    <col min="16134" max="16134" width="9.875" style="266" customWidth="1"/>
    <col min="16135" max="16135" width="13.875" style="266" customWidth="1"/>
    <col min="16136" max="16139" width="9.125" style="266" customWidth="1"/>
    <col min="16140" max="16140" width="75.50390625" style="266" customWidth="1"/>
    <col min="16141" max="16141" width="45.375" style="266" customWidth="1"/>
    <col min="16142" max="16384" width="9.125" style="266" customWidth="1"/>
  </cols>
  <sheetData>
    <row r="1" spans="1:7" ht="15.6">
      <c r="A1" s="1590" t="s">
        <v>127</v>
      </c>
      <c r="B1" s="1590"/>
      <c r="C1" s="1590"/>
      <c r="D1" s="1590"/>
      <c r="E1" s="1590"/>
      <c r="F1" s="1590"/>
      <c r="G1" s="1590"/>
    </row>
    <row r="2" spans="1:7" ht="14.25" customHeight="1" thickBot="1">
      <c r="A2" s="190"/>
      <c r="B2" s="191"/>
      <c r="C2" s="192"/>
      <c r="D2" s="192"/>
      <c r="E2" s="193"/>
      <c r="F2" s="192"/>
      <c r="G2" s="192"/>
    </row>
    <row r="3" spans="1:7" ht="13.8" thickTop="1">
      <c r="A3" s="1579" t="s">
        <v>2</v>
      </c>
      <c r="B3" s="1580"/>
      <c r="C3" s="102" t="str">
        <f>CONCATENATE(cislostavby," ",nazevstavby)</f>
        <v>2013/88 Lednice zahrady</v>
      </c>
      <c r="D3" s="194"/>
      <c r="E3" s="195" t="s">
        <v>128</v>
      </c>
      <c r="F3" s="196">
        <f>'z06 2R'!H1</f>
        <v>0</v>
      </c>
      <c r="G3" s="197"/>
    </row>
    <row r="4" spans="1:7" ht="13.8" thickBot="1">
      <c r="A4" s="1591" t="s">
        <v>79</v>
      </c>
      <c r="B4" s="1582"/>
      <c r="C4" s="96" t="s">
        <v>1663</v>
      </c>
      <c r="D4" s="198"/>
      <c r="E4" s="1592">
        <f>'z06 2R'!G2</f>
        <v>0</v>
      </c>
      <c r="F4" s="1593"/>
      <c r="G4" s="1594"/>
    </row>
    <row r="5" spans="1:7" ht="13.8" thickTop="1">
      <c r="A5" s="199"/>
      <c r="B5" s="190"/>
      <c r="C5" s="1307"/>
      <c r="D5" s="190"/>
      <c r="E5" s="200"/>
      <c r="F5" s="190"/>
      <c r="G5" s="201"/>
    </row>
    <row r="6" spans="1:7" ht="12.75">
      <c r="A6" s="202" t="s">
        <v>129</v>
      </c>
      <c r="B6" s="203" t="s">
        <v>130</v>
      </c>
      <c r="C6" s="203" t="s">
        <v>131</v>
      </c>
      <c r="D6" s="203" t="s">
        <v>132</v>
      </c>
      <c r="E6" s="204" t="s">
        <v>133</v>
      </c>
      <c r="F6" s="203" t="s">
        <v>134</v>
      </c>
      <c r="G6" s="205" t="s">
        <v>135</v>
      </c>
    </row>
    <row r="7" spans="1:15" ht="12.75">
      <c r="A7" s="207" t="s">
        <v>140</v>
      </c>
      <c r="B7" s="208" t="s">
        <v>141</v>
      </c>
      <c r="C7" s="209" t="s">
        <v>142</v>
      </c>
      <c r="D7" s="210"/>
      <c r="E7" s="211"/>
      <c r="F7" s="211"/>
      <c r="G7" s="212"/>
      <c r="H7" s="267"/>
      <c r="I7" s="267"/>
      <c r="O7" s="268">
        <v>1</v>
      </c>
    </row>
    <row r="8" spans="1:104" ht="12.75">
      <c r="A8" s="218">
        <v>1</v>
      </c>
      <c r="B8" s="1378" t="s">
        <v>1664</v>
      </c>
      <c r="C8" s="1379" t="s">
        <v>1665</v>
      </c>
      <c r="D8" s="1380" t="s">
        <v>231</v>
      </c>
      <c r="E8" s="1381"/>
      <c r="F8" s="1381"/>
      <c r="G8" s="1382">
        <f>E8*F8</f>
        <v>0</v>
      </c>
      <c r="H8" s="266">
        <v>-170</v>
      </c>
      <c r="O8" s="268">
        <v>2</v>
      </c>
      <c r="AA8" s="266">
        <v>1</v>
      </c>
      <c r="AB8" s="266">
        <v>1</v>
      </c>
      <c r="AC8" s="266">
        <v>1</v>
      </c>
      <c r="AZ8" s="266">
        <v>1</v>
      </c>
      <c r="BA8" s="266">
        <f>IF(AZ8=1,G8,0)</f>
        <v>0</v>
      </c>
      <c r="BB8" s="266">
        <f>IF(AZ8=2,G8,0)</f>
        <v>0</v>
      </c>
      <c r="BC8" s="266">
        <f>IF(AZ8=3,G8,0)</f>
        <v>0</v>
      </c>
      <c r="BD8" s="266">
        <f>IF(AZ8=4,G8,0)</f>
        <v>0</v>
      </c>
      <c r="BE8" s="266">
        <f>IF(AZ8=5,G8,0)</f>
        <v>0</v>
      </c>
      <c r="CA8" s="268">
        <v>1</v>
      </c>
      <c r="CB8" s="268">
        <v>1</v>
      </c>
      <c r="CZ8" s="266">
        <v>0</v>
      </c>
    </row>
    <row r="9" spans="1:15" ht="12.75">
      <c r="A9" s="226"/>
      <c r="B9" s="1383"/>
      <c r="C9" s="1669" t="s">
        <v>1666</v>
      </c>
      <c r="D9" s="1670"/>
      <c r="E9" s="1391">
        <v>170</v>
      </c>
      <c r="F9" s="1392"/>
      <c r="G9" s="1393"/>
      <c r="M9" s="234" t="s">
        <v>1666</v>
      </c>
      <c r="O9" s="268"/>
    </row>
    <row r="10" spans="1:104" ht="20.4">
      <c r="A10" s="218">
        <v>2</v>
      </c>
      <c r="B10" s="1378" t="s">
        <v>323</v>
      </c>
      <c r="C10" s="1379" t="s">
        <v>324</v>
      </c>
      <c r="D10" s="1380" t="s">
        <v>154</v>
      </c>
      <c r="E10" s="1381"/>
      <c r="F10" s="1381"/>
      <c r="G10" s="1382">
        <f>E10*F10</f>
        <v>0</v>
      </c>
      <c r="H10" s="266">
        <v>-1.53</v>
      </c>
      <c r="O10" s="268">
        <v>2</v>
      </c>
      <c r="AA10" s="266">
        <v>1</v>
      </c>
      <c r="AB10" s="266">
        <v>1</v>
      </c>
      <c r="AC10" s="266">
        <v>1</v>
      </c>
      <c r="AZ10" s="266">
        <v>1</v>
      </c>
      <c r="BA10" s="266">
        <f>IF(AZ10=1,G10,0)</f>
        <v>0</v>
      </c>
      <c r="BB10" s="266">
        <f>IF(AZ10=2,G10,0)</f>
        <v>0</v>
      </c>
      <c r="BC10" s="266">
        <f>IF(AZ10=3,G10,0)</f>
        <v>0</v>
      </c>
      <c r="BD10" s="266">
        <f>IF(AZ10=4,G10,0)</f>
        <v>0</v>
      </c>
      <c r="BE10" s="266">
        <f>IF(AZ10=5,G10,0)</f>
        <v>0</v>
      </c>
      <c r="CA10" s="268">
        <v>1</v>
      </c>
      <c r="CB10" s="268">
        <v>1</v>
      </c>
      <c r="CZ10" s="266">
        <v>0</v>
      </c>
    </row>
    <row r="11" spans="1:15" ht="12.75">
      <c r="A11" s="226"/>
      <c r="B11" s="1383"/>
      <c r="C11" s="1669" t="s">
        <v>1667</v>
      </c>
      <c r="D11" s="1670"/>
      <c r="E11" s="1391">
        <v>8.925</v>
      </c>
      <c r="F11" s="1392"/>
      <c r="G11" s="1393"/>
      <c r="M11" s="234" t="s">
        <v>1667</v>
      </c>
      <c r="O11" s="268"/>
    </row>
    <row r="12" spans="1:15" ht="12.75">
      <c r="A12" s="226"/>
      <c r="B12" s="1383"/>
      <c r="C12" s="1669" t="s">
        <v>1668</v>
      </c>
      <c r="D12" s="1670"/>
      <c r="E12" s="1391">
        <v>-7.395</v>
      </c>
      <c r="F12" s="1392"/>
      <c r="G12" s="1393"/>
      <c r="M12" s="234" t="s">
        <v>1668</v>
      </c>
      <c r="O12" s="268"/>
    </row>
    <row r="13" spans="1:104" ht="12.75">
      <c r="A13" s="218">
        <v>3</v>
      </c>
      <c r="B13" s="1378" t="s">
        <v>162</v>
      </c>
      <c r="C13" s="1379" t="s">
        <v>163</v>
      </c>
      <c r="D13" s="1380" t="s">
        <v>154</v>
      </c>
      <c r="E13" s="1381"/>
      <c r="F13" s="1381"/>
      <c r="G13" s="1382">
        <f>E13*F13</f>
        <v>0</v>
      </c>
      <c r="H13" s="266">
        <v>-4.51</v>
      </c>
      <c r="O13" s="268">
        <v>2</v>
      </c>
      <c r="AA13" s="266">
        <v>1</v>
      </c>
      <c r="AB13" s="266">
        <v>1</v>
      </c>
      <c r="AC13" s="266">
        <v>1</v>
      </c>
      <c r="AZ13" s="266">
        <v>1</v>
      </c>
      <c r="BA13" s="266">
        <f>IF(AZ13=1,G13,0)</f>
        <v>0</v>
      </c>
      <c r="BB13" s="266">
        <f>IF(AZ13=2,G13,0)</f>
        <v>0</v>
      </c>
      <c r="BC13" s="266">
        <f>IF(AZ13=3,G13,0)</f>
        <v>0</v>
      </c>
      <c r="BD13" s="266">
        <f>IF(AZ13=4,G13,0)</f>
        <v>0</v>
      </c>
      <c r="BE13" s="266">
        <f>IF(AZ13=5,G13,0)</f>
        <v>0</v>
      </c>
      <c r="CA13" s="268">
        <v>1</v>
      </c>
      <c r="CB13" s="268">
        <v>1</v>
      </c>
      <c r="CZ13" s="266">
        <v>0</v>
      </c>
    </row>
    <row r="14" spans="1:15" ht="12.75">
      <c r="A14" s="226"/>
      <c r="B14" s="1383"/>
      <c r="C14" s="1669" t="s">
        <v>1669</v>
      </c>
      <c r="D14" s="1670"/>
      <c r="E14" s="1391">
        <v>11.9</v>
      </c>
      <c r="F14" s="1392"/>
      <c r="G14" s="1393"/>
      <c r="M14" s="234" t="s">
        <v>1669</v>
      </c>
      <c r="O14" s="268"/>
    </row>
    <row r="15" spans="1:15" ht="12.75">
      <c r="A15" s="226"/>
      <c r="B15" s="1383"/>
      <c r="C15" s="1669" t="s">
        <v>1668</v>
      </c>
      <c r="D15" s="1670"/>
      <c r="E15" s="1391">
        <v>-7.395</v>
      </c>
      <c r="F15" s="1392"/>
      <c r="G15" s="1393"/>
      <c r="M15" s="234" t="s">
        <v>1668</v>
      </c>
      <c r="O15" s="268"/>
    </row>
    <row r="16" spans="1:104" ht="12.75">
      <c r="A16" s="218">
        <v>4</v>
      </c>
      <c r="B16" s="1378" t="s">
        <v>327</v>
      </c>
      <c r="C16" s="1379" t="s">
        <v>328</v>
      </c>
      <c r="D16" s="1380" t="s">
        <v>154</v>
      </c>
      <c r="E16" s="1381"/>
      <c r="F16" s="1381"/>
      <c r="G16" s="1382">
        <f>E16*F16</f>
        <v>0</v>
      </c>
      <c r="H16" s="266">
        <v>-4.51</v>
      </c>
      <c r="O16" s="268">
        <v>2</v>
      </c>
      <c r="AA16" s="266">
        <v>1</v>
      </c>
      <c r="AB16" s="266">
        <v>1</v>
      </c>
      <c r="AC16" s="266">
        <v>1</v>
      </c>
      <c r="AZ16" s="266">
        <v>1</v>
      </c>
      <c r="BA16" s="266">
        <f>IF(AZ16=1,G16,0)</f>
        <v>0</v>
      </c>
      <c r="BB16" s="266">
        <f>IF(AZ16=2,G16,0)</f>
        <v>0</v>
      </c>
      <c r="BC16" s="266">
        <f>IF(AZ16=3,G16,0)</f>
        <v>0</v>
      </c>
      <c r="BD16" s="266">
        <f>IF(AZ16=4,G16,0)</f>
        <v>0</v>
      </c>
      <c r="BE16" s="266">
        <f>IF(AZ16=5,G16,0)</f>
        <v>0</v>
      </c>
      <c r="CA16" s="268">
        <v>1</v>
      </c>
      <c r="CB16" s="268">
        <v>1</v>
      </c>
      <c r="CZ16" s="266">
        <v>0</v>
      </c>
    </row>
    <row r="17" spans="1:15" ht="12.75">
      <c r="A17" s="226"/>
      <c r="B17" s="1383"/>
      <c r="C17" s="1669" t="s">
        <v>1669</v>
      </c>
      <c r="D17" s="1670"/>
      <c r="E17" s="1391">
        <v>11.9</v>
      </c>
      <c r="F17" s="1392"/>
      <c r="G17" s="1393"/>
      <c r="M17" s="234" t="s">
        <v>1669</v>
      </c>
      <c r="O17" s="268"/>
    </row>
    <row r="18" spans="1:15" ht="12.75">
      <c r="A18" s="226"/>
      <c r="B18" s="1383"/>
      <c r="C18" s="1669" t="s">
        <v>1668</v>
      </c>
      <c r="D18" s="1670"/>
      <c r="E18" s="1391">
        <v>-7.395</v>
      </c>
      <c r="F18" s="1392"/>
      <c r="G18" s="1393"/>
      <c r="M18" s="234" t="s">
        <v>1668</v>
      </c>
      <c r="O18" s="268"/>
    </row>
    <row r="19" spans="1:104" ht="12.75">
      <c r="A19" s="218">
        <v>5</v>
      </c>
      <c r="B19" s="1378" t="s">
        <v>1670</v>
      </c>
      <c r="C19" s="1379" t="s">
        <v>1671</v>
      </c>
      <c r="D19" s="1380" t="s">
        <v>154</v>
      </c>
      <c r="E19" s="1381"/>
      <c r="F19" s="1381"/>
      <c r="G19" s="1382">
        <f>E19*F19</f>
        <v>0</v>
      </c>
      <c r="H19" s="266">
        <v>-7.4</v>
      </c>
      <c r="O19" s="268">
        <v>2</v>
      </c>
      <c r="AA19" s="266">
        <v>1</v>
      </c>
      <c r="AB19" s="266">
        <v>1</v>
      </c>
      <c r="AC19" s="266">
        <v>1</v>
      </c>
      <c r="AZ19" s="266">
        <v>1</v>
      </c>
      <c r="BA19" s="266">
        <f>IF(AZ19=1,G19,0)</f>
        <v>0</v>
      </c>
      <c r="BB19" s="266">
        <f>IF(AZ19=2,G19,0)</f>
        <v>0</v>
      </c>
      <c r="BC19" s="266">
        <f>IF(AZ19=3,G19,0)</f>
        <v>0</v>
      </c>
      <c r="BD19" s="266">
        <f>IF(AZ19=4,G19,0)</f>
        <v>0</v>
      </c>
      <c r="BE19" s="266">
        <f>IF(AZ19=5,G19,0)</f>
        <v>0</v>
      </c>
      <c r="CA19" s="268">
        <v>1</v>
      </c>
      <c r="CB19" s="268">
        <v>1</v>
      </c>
      <c r="CZ19" s="266">
        <v>0</v>
      </c>
    </row>
    <row r="20" spans="1:15" ht="12.75">
      <c r="A20" s="226"/>
      <c r="B20" s="1383"/>
      <c r="C20" s="1669" t="s">
        <v>1672</v>
      </c>
      <c r="D20" s="1670"/>
      <c r="E20" s="1391">
        <v>7.395</v>
      </c>
      <c r="F20" s="1392"/>
      <c r="G20" s="1393"/>
      <c r="M20" s="234" t="s">
        <v>1672</v>
      </c>
      <c r="O20" s="268"/>
    </row>
    <row r="21" spans="1:104" ht="12.75">
      <c r="A21" s="218">
        <v>6</v>
      </c>
      <c r="B21" s="1378" t="s">
        <v>1673</v>
      </c>
      <c r="C21" s="1379" t="s">
        <v>1674</v>
      </c>
      <c r="D21" s="1380" t="s">
        <v>231</v>
      </c>
      <c r="E21" s="1381"/>
      <c r="F21" s="1381"/>
      <c r="G21" s="1382">
        <f>E21*F21</f>
        <v>0</v>
      </c>
      <c r="H21" s="266">
        <v>-170</v>
      </c>
      <c r="O21" s="268">
        <v>2</v>
      </c>
      <c r="AA21" s="266">
        <v>1</v>
      </c>
      <c r="AB21" s="266">
        <v>1</v>
      </c>
      <c r="AC21" s="266">
        <v>1</v>
      </c>
      <c r="AZ21" s="266">
        <v>1</v>
      </c>
      <c r="BA21" s="266">
        <f>IF(AZ21=1,G21,0)</f>
        <v>0</v>
      </c>
      <c r="BB21" s="266">
        <f>IF(AZ21=2,G21,0)</f>
        <v>0</v>
      </c>
      <c r="BC21" s="266">
        <f>IF(AZ21=3,G21,0)</f>
        <v>0</v>
      </c>
      <c r="BD21" s="266">
        <f>IF(AZ21=4,G21,0)</f>
        <v>0</v>
      </c>
      <c r="BE21" s="266">
        <f>IF(AZ21=5,G21,0)</f>
        <v>0</v>
      </c>
      <c r="CA21" s="268">
        <v>1</v>
      </c>
      <c r="CB21" s="268">
        <v>1</v>
      </c>
      <c r="CZ21" s="266">
        <v>0.00583</v>
      </c>
    </row>
    <row r="22" spans="1:15" ht="12.75">
      <c r="A22" s="226"/>
      <c r="B22" s="1383"/>
      <c r="C22" s="1669" t="s">
        <v>1666</v>
      </c>
      <c r="D22" s="1670"/>
      <c r="E22" s="1391">
        <v>170</v>
      </c>
      <c r="F22" s="1392"/>
      <c r="G22" s="1393"/>
      <c r="M22" s="234" t="s">
        <v>1666</v>
      </c>
      <c r="O22" s="268"/>
    </row>
    <row r="23" spans="1:104" ht="12.75">
      <c r="A23" s="218">
        <v>7</v>
      </c>
      <c r="B23" s="1378" t="s">
        <v>1675</v>
      </c>
      <c r="C23" s="1379" t="s">
        <v>1676</v>
      </c>
      <c r="D23" s="1380" t="s">
        <v>196</v>
      </c>
      <c r="E23" s="1381"/>
      <c r="F23" s="1381"/>
      <c r="G23" s="1382">
        <f>E23*F23</f>
        <v>0</v>
      </c>
      <c r="H23" s="266">
        <v>-68</v>
      </c>
      <c r="O23" s="268">
        <v>2</v>
      </c>
      <c r="AA23" s="266">
        <v>3</v>
      </c>
      <c r="AB23" s="266">
        <v>1</v>
      </c>
      <c r="AC23" s="266">
        <v>59233174</v>
      </c>
      <c r="AZ23" s="266">
        <v>1</v>
      </c>
      <c r="BA23" s="266">
        <f>IF(AZ23=1,G23,0)</f>
        <v>0</v>
      </c>
      <c r="BB23" s="266">
        <f>IF(AZ23=2,G23,0)</f>
        <v>0</v>
      </c>
      <c r="BC23" s="266">
        <f>IF(AZ23=3,G23,0)</f>
        <v>0</v>
      </c>
      <c r="BD23" s="266">
        <f>IF(AZ23=4,G23,0)</f>
        <v>0</v>
      </c>
      <c r="BE23" s="266">
        <f>IF(AZ23=5,G23,0)</f>
        <v>0</v>
      </c>
      <c r="CA23" s="268">
        <v>3</v>
      </c>
      <c r="CB23" s="268">
        <v>1</v>
      </c>
      <c r="CZ23" s="266">
        <v>0.065</v>
      </c>
    </row>
    <row r="24" spans="1:57" ht="12.75">
      <c r="A24" s="236"/>
      <c r="B24" s="1387" t="s">
        <v>175</v>
      </c>
      <c r="C24" s="1374" t="str">
        <f>CONCATENATE(B7," ",C7)</f>
        <v>1 Zemní práce</v>
      </c>
      <c r="D24" s="1375"/>
      <c r="E24" s="1388"/>
      <c r="F24" s="1389"/>
      <c r="G24" s="1390"/>
      <c r="O24" s="268">
        <v>4</v>
      </c>
      <c r="BA24" s="269">
        <f>SUM(BA7:BA23)</f>
        <v>0</v>
      </c>
      <c r="BB24" s="269">
        <f>SUM(BB7:BB23)</f>
        <v>0</v>
      </c>
      <c r="BC24" s="269">
        <f>SUM(BC7:BC23)</f>
        <v>0</v>
      </c>
      <c r="BD24" s="269">
        <f>SUM(BD7:BD23)</f>
        <v>0</v>
      </c>
      <c r="BE24" s="269">
        <f>SUM(BE7:BE23)</f>
        <v>0</v>
      </c>
    </row>
    <row r="25" spans="1:15" ht="12.75">
      <c r="A25" s="207" t="s">
        <v>140</v>
      </c>
      <c r="B25" s="1373" t="s">
        <v>234</v>
      </c>
      <c r="C25" s="1374" t="s">
        <v>235</v>
      </c>
      <c r="D25" s="1375"/>
      <c r="E25" s="1376"/>
      <c r="F25" s="1376"/>
      <c r="G25" s="1377"/>
      <c r="H25" s="267"/>
      <c r="I25" s="267"/>
      <c r="O25" s="268">
        <v>1</v>
      </c>
    </row>
    <row r="26" spans="1:104" ht="12.75">
      <c r="A26" s="218">
        <v>8</v>
      </c>
      <c r="B26" s="1378" t="s">
        <v>1677</v>
      </c>
      <c r="C26" s="1379" t="s">
        <v>1678</v>
      </c>
      <c r="D26" s="1380" t="s">
        <v>166</v>
      </c>
      <c r="E26" s="1381"/>
      <c r="F26" s="1381"/>
      <c r="G26" s="1382">
        <f>E26*F26</f>
        <v>0</v>
      </c>
      <c r="H26" s="266">
        <v>-5.41</v>
      </c>
      <c r="O26" s="268">
        <v>2</v>
      </c>
      <c r="AA26" s="266">
        <v>7</v>
      </c>
      <c r="AB26" s="266">
        <v>1</v>
      </c>
      <c r="AC26" s="266">
        <v>2</v>
      </c>
      <c r="AZ26" s="266">
        <v>1</v>
      </c>
      <c r="BA26" s="266">
        <f>IF(AZ26=1,G26,0)</f>
        <v>0</v>
      </c>
      <c r="BB26" s="266">
        <f>IF(AZ26=2,G26,0)</f>
        <v>0</v>
      </c>
      <c r="BC26" s="266">
        <f>IF(AZ26=3,G26,0)</f>
        <v>0</v>
      </c>
      <c r="BD26" s="266">
        <f>IF(AZ26=4,G26,0)</f>
        <v>0</v>
      </c>
      <c r="BE26" s="266">
        <f>IF(AZ26=5,G26,0)</f>
        <v>0</v>
      </c>
      <c r="CA26" s="268">
        <v>7</v>
      </c>
      <c r="CB26" s="268">
        <v>1</v>
      </c>
      <c r="CZ26" s="266">
        <v>0</v>
      </c>
    </row>
    <row r="27" spans="1:57" ht="12.75">
      <c r="A27" s="236"/>
      <c r="B27" s="1387" t="s">
        <v>175</v>
      </c>
      <c r="C27" s="1374" t="str">
        <f>CONCATENATE(B25," ",C25)</f>
        <v>99 Staveništní přesun hmot</v>
      </c>
      <c r="D27" s="1375"/>
      <c r="E27" s="1388"/>
      <c r="F27" s="1389"/>
      <c r="G27" s="1390"/>
      <c r="O27" s="268">
        <v>4</v>
      </c>
      <c r="BA27" s="269">
        <f>SUM(BA25:BA26)</f>
        <v>0</v>
      </c>
      <c r="BB27" s="269">
        <f>SUM(BB25:BB26)</f>
        <v>0</v>
      </c>
      <c r="BC27" s="269">
        <f>SUM(BC25:BC26)</f>
        <v>0</v>
      </c>
      <c r="BD27" s="269">
        <f>SUM(BD25:BD26)</f>
        <v>0</v>
      </c>
      <c r="BE27" s="269">
        <f>SUM(BE25:BE26)</f>
        <v>0</v>
      </c>
    </row>
    <row r="28" spans="1:15" ht="12.75">
      <c r="A28" s="207" t="s">
        <v>140</v>
      </c>
      <c r="B28" s="1373" t="s">
        <v>255</v>
      </c>
      <c r="C28" s="1374" t="s">
        <v>256</v>
      </c>
      <c r="D28" s="1375"/>
      <c r="E28" s="1376"/>
      <c r="F28" s="1376"/>
      <c r="G28" s="1377"/>
      <c r="H28" s="267"/>
      <c r="I28" s="267"/>
      <c r="O28" s="268">
        <v>1</v>
      </c>
    </row>
    <row r="29" spans="1:104" ht="12.75">
      <c r="A29" s="218">
        <v>9</v>
      </c>
      <c r="B29" s="1378" t="s">
        <v>1679</v>
      </c>
      <c r="C29" s="1379" t="s">
        <v>1680</v>
      </c>
      <c r="D29" s="1380" t="s">
        <v>259</v>
      </c>
      <c r="E29" s="1381"/>
      <c r="F29" s="1381"/>
      <c r="G29" s="1382">
        <f>E29*F29</f>
        <v>0</v>
      </c>
      <c r="H29" s="266">
        <v>-385.7</v>
      </c>
      <c r="O29" s="268">
        <v>2</v>
      </c>
      <c r="AA29" s="266">
        <v>1</v>
      </c>
      <c r="AB29" s="266">
        <v>0</v>
      </c>
      <c r="AC29" s="266">
        <v>0</v>
      </c>
      <c r="AZ29" s="266">
        <v>2</v>
      </c>
      <c r="BA29" s="266">
        <f>IF(AZ29=1,G29,0)</f>
        <v>0</v>
      </c>
      <c r="BB29" s="266">
        <f>IF(AZ29=2,G29,0)</f>
        <v>0</v>
      </c>
      <c r="BC29" s="266">
        <f>IF(AZ29=3,G29,0)</f>
        <v>0</v>
      </c>
      <c r="BD29" s="266">
        <f>IF(AZ29=4,G29,0)</f>
        <v>0</v>
      </c>
      <c r="BE29" s="266">
        <f>IF(AZ29=5,G29,0)</f>
        <v>0</v>
      </c>
      <c r="CA29" s="268">
        <v>1</v>
      </c>
      <c r="CB29" s="268">
        <v>0</v>
      </c>
      <c r="CZ29" s="266">
        <v>0</v>
      </c>
    </row>
    <row r="30" spans="1:15" ht="12.75">
      <c r="A30" s="226"/>
      <c r="B30" s="1383"/>
      <c r="C30" s="1669" t="s">
        <v>1681</v>
      </c>
      <c r="D30" s="1670"/>
      <c r="E30" s="1391">
        <v>385.696</v>
      </c>
      <c r="F30" s="1392"/>
      <c r="G30" s="1393"/>
      <c r="M30" s="234" t="s">
        <v>1681</v>
      </c>
      <c r="O30" s="268"/>
    </row>
    <row r="31" spans="1:104" ht="12.75">
      <c r="A31" s="218">
        <v>10</v>
      </c>
      <c r="B31" s="1378" t="s">
        <v>1682</v>
      </c>
      <c r="C31" s="1379" t="s">
        <v>1683</v>
      </c>
      <c r="D31" s="1380" t="s">
        <v>259</v>
      </c>
      <c r="E31" s="1381"/>
      <c r="F31" s="1381"/>
      <c r="G31" s="1382">
        <f>E31*F31</f>
        <v>0</v>
      </c>
      <c r="H31" s="266">
        <v>-385.7</v>
      </c>
      <c r="O31" s="268">
        <v>2</v>
      </c>
      <c r="AA31" s="266">
        <v>1</v>
      </c>
      <c r="AB31" s="266">
        <v>7</v>
      </c>
      <c r="AC31" s="266">
        <v>7</v>
      </c>
      <c r="AZ31" s="266">
        <v>2</v>
      </c>
      <c r="BA31" s="266">
        <f>IF(AZ31=1,G31,0)</f>
        <v>0</v>
      </c>
      <c r="BB31" s="266">
        <f>IF(AZ31=2,G31,0)</f>
        <v>0</v>
      </c>
      <c r="BC31" s="266">
        <f>IF(AZ31=3,G31,0)</f>
        <v>0</v>
      </c>
      <c r="BD31" s="266">
        <f>IF(AZ31=4,G31,0)</f>
        <v>0</v>
      </c>
      <c r="BE31" s="266">
        <f>IF(AZ31=5,G31,0)</f>
        <v>0</v>
      </c>
      <c r="CA31" s="268">
        <v>1</v>
      </c>
      <c r="CB31" s="268">
        <v>7</v>
      </c>
      <c r="CZ31" s="266">
        <v>6E-05</v>
      </c>
    </row>
    <row r="32" spans="1:15" ht="12.75">
      <c r="A32" s="226"/>
      <c r="B32" s="1383"/>
      <c r="C32" s="1669" t="s">
        <v>1681</v>
      </c>
      <c r="D32" s="1670"/>
      <c r="E32" s="1391">
        <v>385.696</v>
      </c>
      <c r="F32" s="1392"/>
      <c r="G32" s="1393"/>
      <c r="M32" s="234" t="s">
        <v>1681</v>
      </c>
      <c r="O32" s="268"/>
    </row>
    <row r="33" spans="1:104" ht="12.75">
      <c r="A33" s="218">
        <v>11</v>
      </c>
      <c r="B33" s="1378" t="s">
        <v>1684</v>
      </c>
      <c r="C33" s="1379" t="s">
        <v>1685</v>
      </c>
      <c r="D33" s="1380" t="s">
        <v>915</v>
      </c>
      <c r="E33" s="1381"/>
      <c r="F33" s="1381"/>
      <c r="G33" s="1382">
        <f>E33*F33</f>
        <v>0</v>
      </c>
      <c r="H33" s="266">
        <v>-0.32</v>
      </c>
      <c r="O33" s="268">
        <v>2</v>
      </c>
      <c r="AA33" s="266">
        <v>3</v>
      </c>
      <c r="AB33" s="266">
        <v>7</v>
      </c>
      <c r="AC33" s="266">
        <v>13384015</v>
      </c>
      <c r="AZ33" s="266">
        <v>2</v>
      </c>
      <c r="BA33" s="266">
        <f>IF(AZ33=1,G33,0)</f>
        <v>0</v>
      </c>
      <c r="BB33" s="266">
        <f>IF(AZ33=2,G33,0)</f>
        <v>0</v>
      </c>
      <c r="BC33" s="266">
        <f>IF(AZ33=3,G33,0)</f>
        <v>0</v>
      </c>
      <c r="BD33" s="266">
        <f>IF(AZ33=4,G33,0)</f>
        <v>0</v>
      </c>
      <c r="BE33" s="266">
        <f>IF(AZ33=5,G33,0)</f>
        <v>0</v>
      </c>
      <c r="CA33" s="268">
        <v>3</v>
      </c>
      <c r="CB33" s="268">
        <v>7</v>
      </c>
      <c r="CZ33" s="266">
        <v>1</v>
      </c>
    </row>
    <row r="34" spans="1:15" ht="12.75">
      <c r="A34" s="226"/>
      <c r="B34" s="1383"/>
      <c r="C34" s="1669" t="s">
        <v>1686</v>
      </c>
      <c r="D34" s="1670"/>
      <c r="E34" s="1391">
        <v>0.3182</v>
      </c>
      <c r="F34" s="1392"/>
      <c r="G34" s="1393"/>
      <c r="M34" s="234" t="s">
        <v>1686</v>
      </c>
      <c r="O34" s="268"/>
    </row>
    <row r="35" spans="1:104" ht="20.4">
      <c r="A35" s="218">
        <v>12</v>
      </c>
      <c r="B35" s="1309" t="s">
        <v>1687</v>
      </c>
      <c r="C35" s="1310" t="s">
        <v>2729</v>
      </c>
      <c r="D35" s="1311" t="s">
        <v>196</v>
      </c>
      <c r="E35" s="1281">
        <v>-205</v>
      </c>
      <c r="F35" s="1281"/>
      <c r="G35" s="1312">
        <f>E35*F35</f>
        <v>0</v>
      </c>
      <c r="O35" s="268">
        <v>2</v>
      </c>
      <c r="AA35" s="266">
        <v>3</v>
      </c>
      <c r="AB35" s="266">
        <v>7</v>
      </c>
      <c r="AC35" s="266">
        <v>55342364</v>
      </c>
      <c r="AZ35" s="266">
        <v>2</v>
      </c>
      <c r="BA35" s="266">
        <f>IF(AZ35=1,G35,0)</f>
        <v>0</v>
      </c>
      <c r="BB35" s="266">
        <f>IF(AZ35=2,G35,0)</f>
        <v>0</v>
      </c>
      <c r="BC35" s="266">
        <f>IF(AZ35=3,G35,0)</f>
        <v>0</v>
      </c>
      <c r="BD35" s="266">
        <f>IF(AZ35=4,G35,0)</f>
        <v>0</v>
      </c>
      <c r="BE35" s="266">
        <f>IF(AZ35=5,G35,0)</f>
        <v>0</v>
      </c>
      <c r="CA35" s="268">
        <v>3</v>
      </c>
      <c r="CB35" s="268">
        <v>7</v>
      </c>
      <c r="CZ35" s="266">
        <v>0.006</v>
      </c>
    </row>
    <row r="36" spans="1:104" ht="20.4">
      <c r="A36" s="218">
        <v>13</v>
      </c>
      <c r="B36" s="1309" t="s">
        <v>1688</v>
      </c>
      <c r="C36" s="1310" t="s">
        <v>2730</v>
      </c>
      <c r="D36" s="1311" t="s">
        <v>196</v>
      </c>
      <c r="E36" s="1281">
        <f>141+H36</f>
        <v>210</v>
      </c>
      <c r="F36" s="1281"/>
      <c r="G36" s="1312">
        <f>E36*F36</f>
        <v>0</v>
      </c>
      <c r="H36" s="266">
        <v>69</v>
      </c>
      <c r="O36" s="268">
        <v>2</v>
      </c>
      <c r="AA36" s="266">
        <v>3</v>
      </c>
      <c r="AB36" s="266">
        <v>7</v>
      </c>
      <c r="AC36" s="266">
        <v>55342366</v>
      </c>
      <c r="AZ36" s="266">
        <v>2</v>
      </c>
      <c r="BA36" s="266">
        <f>IF(AZ36=1,G36,0)</f>
        <v>0</v>
      </c>
      <c r="BB36" s="266">
        <f>IF(AZ36=2,G36,0)</f>
        <v>0</v>
      </c>
      <c r="BC36" s="266">
        <f>IF(AZ36=3,G36,0)</f>
        <v>0</v>
      </c>
      <c r="BD36" s="266">
        <f>IF(AZ36=4,G36,0)</f>
        <v>0</v>
      </c>
      <c r="BE36" s="266">
        <f>IF(AZ36=5,G36,0)</f>
        <v>0</v>
      </c>
      <c r="CA36" s="268">
        <v>3</v>
      </c>
      <c r="CB36" s="268">
        <v>7</v>
      </c>
      <c r="CZ36" s="266">
        <v>0.0069</v>
      </c>
    </row>
    <row r="37" spans="1:15" ht="12.75">
      <c r="A37" s="226"/>
      <c r="B37" s="1313"/>
      <c r="C37" s="1671" t="s">
        <v>1689</v>
      </c>
      <c r="D37" s="1672"/>
      <c r="E37" s="1314">
        <v>141</v>
      </c>
      <c r="F37" s="1315"/>
      <c r="G37" s="1316"/>
      <c r="M37" s="234" t="s">
        <v>1689</v>
      </c>
      <c r="O37" s="268"/>
    </row>
    <row r="38" spans="1:104" ht="12.75">
      <c r="A38" s="218">
        <v>14</v>
      </c>
      <c r="B38" s="1378" t="s">
        <v>1690</v>
      </c>
      <c r="C38" s="1379" t="s">
        <v>1691</v>
      </c>
      <c r="D38" s="1380" t="s">
        <v>196</v>
      </c>
      <c r="E38" s="1381"/>
      <c r="F38" s="1381"/>
      <c r="G38" s="1382">
        <f>E38*F38</f>
        <v>0</v>
      </c>
      <c r="H38" s="266">
        <v>-69</v>
      </c>
      <c r="O38" s="268">
        <v>2</v>
      </c>
      <c r="AA38" s="266">
        <v>3</v>
      </c>
      <c r="AB38" s="266">
        <v>7</v>
      </c>
      <c r="AC38" s="266">
        <v>55342368</v>
      </c>
      <c r="AZ38" s="266">
        <v>2</v>
      </c>
      <c r="BA38" s="266">
        <f>IF(AZ38=1,G38,0)</f>
        <v>0</v>
      </c>
      <c r="BB38" s="266">
        <f>IF(AZ38=2,G38,0)</f>
        <v>0</v>
      </c>
      <c r="BC38" s="266">
        <f>IF(AZ38=3,G38,0)</f>
        <v>0</v>
      </c>
      <c r="BD38" s="266">
        <f>IF(AZ38=4,G38,0)</f>
        <v>0</v>
      </c>
      <c r="BE38" s="266">
        <f>IF(AZ38=5,G38,0)</f>
        <v>0</v>
      </c>
      <c r="CA38" s="268">
        <v>3</v>
      </c>
      <c r="CB38" s="268">
        <v>7</v>
      </c>
      <c r="CZ38" s="266">
        <v>0.0075</v>
      </c>
    </row>
    <row r="39" spans="1:104" ht="12.75">
      <c r="A39" s="218">
        <v>15</v>
      </c>
      <c r="B39" s="1309" t="s">
        <v>263</v>
      </c>
      <c r="C39" s="1310" t="s">
        <v>1692</v>
      </c>
      <c r="D39" s="1311" t="s">
        <v>9</v>
      </c>
      <c r="E39" s="1281"/>
      <c r="F39" s="1281"/>
      <c r="G39" s="1312">
        <f>E39*F39</f>
        <v>0</v>
      </c>
      <c r="O39" s="268">
        <v>2</v>
      </c>
      <c r="AA39" s="266">
        <v>7</v>
      </c>
      <c r="AB39" s="266">
        <v>1002</v>
      </c>
      <c r="AC39" s="266">
        <v>5</v>
      </c>
      <c r="AZ39" s="266">
        <v>2</v>
      </c>
      <c r="BA39" s="266">
        <f>IF(AZ39=1,G39,0)</f>
        <v>0</v>
      </c>
      <c r="BB39" s="266">
        <f>IF(AZ39=2,G39,0)</f>
        <v>0</v>
      </c>
      <c r="BC39" s="266">
        <f>IF(AZ39=3,G39,0)</f>
        <v>0</v>
      </c>
      <c r="BD39" s="266">
        <f>IF(AZ39=4,G39,0)</f>
        <v>0</v>
      </c>
      <c r="BE39" s="266">
        <f>IF(AZ39=5,G39,0)</f>
        <v>0</v>
      </c>
      <c r="CA39" s="268">
        <v>7</v>
      </c>
      <c r="CB39" s="268">
        <v>1002</v>
      </c>
      <c r="CZ39" s="266">
        <v>0</v>
      </c>
    </row>
    <row r="40" spans="1:57" ht="12.75">
      <c r="A40" s="236"/>
      <c r="B40" s="1317" t="s">
        <v>175</v>
      </c>
      <c r="C40" s="1318" t="str">
        <f>CONCATENATE(B28," ",C28)</f>
        <v>767 Konstrukce zámečnické</v>
      </c>
      <c r="D40" s="1319"/>
      <c r="E40" s="1320"/>
      <c r="F40" s="1321"/>
      <c r="G40" s="1322">
        <f>SUM(G35:G37)+G39</f>
        <v>0</v>
      </c>
      <c r="O40" s="268">
        <v>4</v>
      </c>
      <c r="BA40" s="269">
        <f>SUM(BA28:BA39)</f>
        <v>0</v>
      </c>
      <c r="BB40" s="269">
        <f>SUM(BB28:BB39)</f>
        <v>0</v>
      </c>
      <c r="BC40" s="269">
        <f>SUM(BC28:BC39)</f>
        <v>0</v>
      </c>
      <c r="BD40" s="269">
        <f>SUM(BD28:BD39)</f>
        <v>0</v>
      </c>
      <c r="BE40" s="269">
        <f>SUM(BE28:BE39)</f>
        <v>0</v>
      </c>
    </row>
    <row r="41" spans="3:5" ht="12.75">
      <c r="C41" s="1302"/>
      <c r="E41" s="266"/>
    </row>
    <row r="42" ht="12.75">
      <c r="E42" s="266"/>
    </row>
    <row r="43" ht="12.75">
      <c r="E43" s="266"/>
    </row>
    <row r="44" ht="12.75">
      <c r="E44" s="266"/>
    </row>
    <row r="45" ht="12.75">
      <c r="E45" s="266"/>
    </row>
    <row r="46" ht="12.75">
      <c r="E46" s="266"/>
    </row>
    <row r="47" ht="12.75">
      <c r="E47" s="266"/>
    </row>
    <row r="48" ht="12.75">
      <c r="E48" s="266"/>
    </row>
    <row r="49" ht="12.75">
      <c r="E49" s="266"/>
    </row>
    <row r="50" ht="12.75">
      <c r="E50" s="266"/>
    </row>
    <row r="51" ht="12.75">
      <c r="E51" s="266"/>
    </row>
    <row r="52" ht="12.75">
      <c r="E52" s="266"/>
    </row>
    <row r="53" ht="12.75">
      <c r="E53" s="266"/>
    </row>
    <row r="54" ht="12.75">
      <c r="E54" s="266"/>
    </row>
    <row r="55" ht="12.75">
      <c r="E55" s="266"/>
    </row>
    <row r="56" ht="12.75">
      <c r="E56" s="266"/>
    </row>
    <row r="57" ht="12.75">
      <c r="E57" s="266"/>
    </row>
    <row r="58" ht="12.75">
      <c r="E58" s="266"/>
    </row>
    <row r="59" ht="12.75">
      <c r="E59" s="266"/>
    </row>
    <row r="60" ht="12.75">
      <c r="E60" s="266"/>
    </row>
    <row r="61" ht="12.75">
      <c r="E61" s="266"/>
    </row>
    <row r="62" ht="12.75">
      <c r="E62" s="266"/>
    </row>
    <row r="63" ht="12.75">
      <c r="E63" s="266"/>
    </row>
    <row r="64" spans="1:7" ht="12.75">
      <c r="A64" s="270"/>
      <c r="B64" s="270"/>
      <c r="C64" s="270"/>
      <c r="D64" s="270"/>
      <c r="E64" s="270"/>
      <c r="F64" s="270"/>
      <c r="G64" s="270"/>
    </row>
    <row r="65" spans="1:7" ht="12.75">
      <c r="A65" s="270"/>
      <c r="B65" s="270"/>
      <c r="C65" s="270"/>
      <c r="D65" s="270"/>
      <c r="E65" s="270"/>
      <c r="F65" s="270"/>
      <c r="G65" s="270"/>
    </row>
    <row r="66" spans="1:7" ht="12.75">
      <c r="A66" s="270"/>
      <c r="B66" s="270"/>
      <c r="C66" s="270"/>
      <c r="D66" s="270"/>
      <c r="E66" s="270"/>
      <c r="F66" s="270"/>
      <c r="G66" s="270"/>
    </row>
    <row r="67" spans="1:7" ht="12.75">
      <c r="A67" s="270"/>
      <c r="B67" s="270"/>
      <c r="C67" s="270"/>
      <c r="D67" s="270"/>
      <c r="E67" s="270"/>
      <c r="F67" s="270"/>
      <c r="G67" s="270"/>
    </row>
    <row r="68" ht="12.75">
      <c r="E68" s="266"/>
    </row>
    <row r="69" ht="12.75">
      <c r="E69" s="266"/>
    </row>
    <row r="70" ht="12.75">
      <c r="E70" s="266"/>
    </row>
    <row r="71" ht="12.75">
      <c r="E71" s="266"/>
    </row>
    <row r="72" ht="12.75">
      <c r="E72" s="266"/>
    </row>
    <row r="73" ht="12.75">
      <c r="E73" s="266"/>
    </row>
    <row r="74" ht="12.75">
      <c r="E74" s="266"/>
    </row>
    <row r="75" ht="12.75">
      <c r="E75" s="266"/>
    </row>
    <row r="76" ht="12.75">
      <c r="E76" s="266"/>
    </row>
    <row r="77" ht="12.75">
      <c r="E77" s="266"/>
    </row>
    <row r="78" ht="12.75">
      <c r="E78" s="266"/>
    </row>
    <row r="79" ht="12.75">
      <c r="E79" s="266"/>
    </row>
    <row r="80" ht="12.75">
      <c r="E80" s="266"/>
    </row>
    <row r="81" ht="12.75">
      <c r="E81" s="266"/>
    </row>
    <row r="82" ht="12.75">
      <c r="E82" s="266"/>
    </row>
    <row r="83" ht="12.75">
      <c r="E83" s="266"/>
    </row>
    <row r="84" ht="12.75">
      <c r="E84" s="266"/>
    </row>
    <row r="85" ht="12.75">
      <c r="E85" s="266"/>
    </row>
    <row r="86" ht="12.75">
      <c r="E86" s="266"/>
    </row>
    <row r="87" ht="12.75">
      <c r="E87" s="266"/>
    </row>
    <row r="88" ht="12.75">
      <c r="E88" s="266"/>
    </row>
    <row r="89" ht="12.75">
      <c r="E89" s="266"/>
    </row>
    <row r="90" ht="12.75">
      <c r="E90" s="266"/>
    </row>
    <row r="91" ht="12.75">
      <c r="E91" s="266"/>
    </row>
    <row r="92" ht="12.75">
      <c r="E92" s="266"/>
    </row>
    <row r="93" ht="12.75">
      <c r="E93" s="266"/>
    </row>
    <row r="94" ht="12.75">
      <c r="E94" s="266"/>
    </row>
    <row r="95" ht="12.75">
      <c r="E95" s="266"/>
    </row>
    <row r="96" ht="12.75">
      <c r="E96" s="266"/>
    </row>
    <row r="97" ht="12.75">
      <c r="E97" s="266"/>
    </row>
    <row r="98" ht="12.75">
      <c r="E98" s="266"/>
    </row>
    <row r="99" spans="1:2" ht="12.75">
      <c r="A99" s="271"/>
      <c r="B99" s="271"/>
    </row>
    <row r="100" spans="1:7" ht="12.75">
      <c r="A100" s="270"/>
      <c r="B100" s="270"/>
      <c r="C100" s="273"/>
      <c r="D100" s="273"/>
      <c r="E100" s="274"/>
      <c r="F100" s="273"/>
      <c r="G100" s="275"/>
    </row>
    <row r="101" spans="1:7" ht="12.75">
      <c r="A101" s="276"/>
      <c r="B101" s="276"/>
      <c r="C101" s="270"/>
      <c r="D101" s="270"/>
      <c r="E101" s="277"/>
      <c r="F101" s="270"/>
      <c r="G101" s="270"/>
    </row>
    <row r="102" spans="1:7" ht="12.75">
      <c r="A102" s="270"/>
      <c r="B102" s="270"/>
      <c r="C102" s="270"/>
      <c r="D102" s="270"/>
      <c r="E102" s="277"/>
      <c r="F102" s="270"/>
      <c r="G102" s="270"/>
    </row>
    <row r="103" spans="1:7" ht="12.75">
      <c r="A103" s="270"/>
      <c r="B103" s="270"/>
      <c r="C103" s="270"/>
      <c r="D103" s="270"/>
      <c r="E103" s="277"/>
      <c r="F103" s="270"/>
      <c r="G103" s="270"/>
    </row>
    <row r="104" spans="1:7" ht="12.75">
      <c r="A104" s="270"/>
      <c r="B104" s="270"/>
      <c r="C104" s="270"/>
      <c r="D104" s="270"/>
      <c r="E104" s="277"/>
      <c r="F104" s="270"/>
      <c r="G104" s="270"/>
    </row>
    <row r="105" spans="1:7" ht="12.75">
      <c r="A105" s="270"/>
      <c r="B105" s="270"/>
      <c r="C105" s="270"/>
      <c r="D105" s="270"/>
      <c r="E105" s="277"/>
      <c r="F105" s="270"/>
      <c r="G105" s="270"/>
    </row>
    <row r="106" spans="1:7" ht="12.75">
      <c r="A106" s="270"/>
      <c r="B106" s="270"/>
      <c r="C106" s="270"/>
      <c r="D106" s="270"/>
      <c r="E106" s="277"/>
      <c r="F106" s="270"/>
      <c r="G106" s="270"/>
    </row>
    <row r="107" spans="1:7" ht="12.75">
      <c r="A107" s="270"/>
      <c r="B107" s="270"/>
      <c r="C107" s="270"/>
      <c r="D107" s="270"/>
      <c r="E107" s="277"/>
      <c r="F107" s="270"/>
      <c r="G107" s="270"/>
    </row>
    <row r="108" spans="1:7" ht="12.75">
      <c r="A108" s="270"/>
      <c r="B108" s="270"/>
      <c r="C108" s="270"/>
      <c r="D108" s="270"/>
      <c r="E108" s="277"/>
      <c r="F108" s="270"/>
      <c r="G108" s="270"/>
    </row>
    <row r="109" spans="1:7" ht="12.75">
      <c r="A109" s="270"/>
      <c r="B109" s="270"/>
      <c r="C109" s="270"/>
      <c r="D109" s="270"/>
      <c r="E109" s="277"/>
      <c r="F109" s="270"/>
      <c r="G109" s="270"/>
    </row>
    <row r="110" spans="1:7" ht="12.75">
      <c r="A110" s="270"/>
      <c r="B110" s="270"/>
      <c r="C110" s="270"/>
      <c r="D110" s="270"/>
      <c r="E110" s="277"/>
      <c r="F110" s="270"/>
      <c r="G110" s="270"/>
    </row>
    <row r="111" spans="1:7" ht="12.75">
      <c r="A111" s="270"/>
      <c r="B111" s="270"/>
      <c r="C111" s="270"/>
      <c r="D111" s="270"/>
      <c r="E111" s="277"/>
      <c r="F111" s="270"/>
      <c r="G111" s="270"/>
    </row>
    <row r="112" spans="1:7" ht="12.75">
      <c r="A112" s="270"/>
      <c r="B112" s="270"/>
      <c r="C112" s="270"/>
      <c r="D112" s="270"/>
      <c r="E112" s="277"/>
      <c r="F112" s="270"/>
      <c r="G112" s="270"/>
    </row>
    <row r="113" spans="1:7" ht="12.75">
      <c r="A113" s="270"/>
      <c r="B113" s="270"/>
      <c r="C113" s="270"/>
      <c r="D113" s="270"/>
      <c r="E113" s="277"/>
      <c r="F113" s="270"/>
      <c r="G113" s="270"/>
    </row>
  </sheetData>
  <mergeCells count="17">
    <mergeCell ref="C20:D20"/>
    <mergeCell ref="A1:G1"/>
    <mergeCell ref="A3:B3"/>
    <mergeCell ref="A4:B4"/>
    <mergeCell ref="E4:G4"/>
    <mergeCell ref="C9:D9"/>
    <mergeCell ref="C11:D11"/>
    <mergeCell ref="C12:D12"/>
    <mergeCell ref="C14:D14"/>
    <mergeCell ref="C15:D15"/>
    <mergeCell ref="C17:D17"/>
    <mergeCell ref="C18:D18"/>
    <mergeCell ref="C22:D22"/>
    <mergeCell ref="C30:D30"/>
    <mergeCell ref="C32:D32"/>
    <mergeCell ref="C34:D34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68"/>
  <sheetViews>
    <sheetView zoomScaleSheetLayoutView="75" workbookViewId="0" topLeftCell="A4">
      <selection activeCell="S16" sqref="S16"/>
    </sheetView>
  </sheetViews>
  <sheetFormatPr defaultColWidth="9.00390625" defaultRowHeight="12.75"/>
  <cols>
    <col min="1" max="1" width="5.00390625" style="806" customWidth="1"/>
    <col min="2" max="2" width="11.00390625" style="806" customWidth="1"/>
    <col min="3" max="3" width="39.125" style="806" customWidth="1"/>
    <col min="4" max="4" width="3.375" style="806" customWidth="1"/>
    <col min="5" max="5" width="9.00390625" style="806" customWidth="1"/>
    <col min="6" max="6" width="9.875" style="806" customWidth="1"/>
    <col min="7" max="7" width="15.125" style="806" customWidth="1"/>
    <col min="8" max="8" width="10.125" style="806" bestFit="1" customWidth="1"/>
    <col min="9" max="9" width="10.375" style="806" customWidth="1"/>
    <col min="10" max="10" width="10.125" style="806" bestFit="1" customWidth="1"/>
    <col min="11" max="256" width="8.875" style="806" customWidth="1"/>
    <col min="257" max="257" width="5.00390625" style="806" customWidth="1"/>
    <col min="258" max="258" width="11.00390625" style="806" customWidth="1"/>
    <col min="259" max="259" width="39.125" style="806" customWidth="1"/>
    <col min="260" max="260" width="3.375" style="806" customWidth="1"/>
    <col min="261" max="261" width="9.00390625" style="806" customWidth="1"/>
    <col min="262" max="262" width="9.875" style="806" customWidth="1"/>
    <col min="263" max="263" width="15.125" style="806" customWidth="1"/>
    <col min="264" max="264" width="10.125" style="806" bestFit="1" customWidth="1"/>
    <col min="265" max="265" width="10.375" style="806" customWidth="1"/>
    <col min="266" max="266" width="10.125" style="806" bestFit="1" customWidth="1"/>
    <col min="267" max="512" width="8.875" style="806" customWidth="1"/>
    <col min="513" max="513" width="5.00390625" style="806" customWidth="1"/>
    <col min="514" max="514" width="11.00390625" style="806" customWidth="1"/>
    <col min="515" max="515" width="39.125" style="806" customWidth="1"/>
    <col min="516" max="516" width="3.375" style="806" customWidth="1"/>
    <col min="517" max="517" width="9.00390625" style="806" customWidth="1"/>
    <col min="518" max="518" width="9.875" style="806" customWidth="1"/>
    <col min="519" max="519" width="15.125" style="806" customWidth="1"/>
    <col min="520" max="520" width="10.125" style="806" bestFit="1" customWidth="1"/>
    <col min="521" max="521" width="10.375" style="806" customWidth="1"/>
    <col min="522" max="522" width="10.125" style="806" bestFit="1" customWidth="1"/>
    <col min="523" max="768" width="8.875" style="806" customWidth="1"/>
    <col min="769" max="769" width="5.00390625" style="806" customWidth="1"/>
    <col min="770" max="770" width="11.00390625" style="806" customWidth="1"/>
    <col min="771" max="771" width="39.125" style="806" customWidth="1"/>
    <col min="772" max="772" width="3.375" style="806" customWidth="1"/>
    <col min="773" max="773" width="9.00390625" style="806" customWidth="1"/>
    <col min="774" max="774" width="9.875" style="806" customWidth="1"/>
    <col min="775" max="775" width="15.125" style="806" customWidth="1"/>
    <col min="776" max="776" width="10.125" style="806" bestFit="1" customWidth="1"/>
    <col min="777" max="777" width="10.375" style="806" customWidth="1"/>
    <col min="778" max="778" width="10.125" style="806" bestFit="1" customWidth="1"/>
    <col min="779" max="1024" width="8.875" style="806" customWidth="1"/>
    <col min="1025" max="1025" width="5.00390625" style="806" customWidth="1"/>
    <col min="1026" max="1026" width="11.00390625" style="806" customWidth="1"/>
    <col min="1027" max="1027" width="39.125" style="806" customWidth="1"/>
    <col min="1028" max="1028" width="3.375" style="806" customWidth="1"/>
    <col min="1029" max="1029" width="9.00390625" style="806" customWidth="1"/>
    <col min="1030" max="1030" width="9.875" style="806" customWidth="1"/>
    <col min="1031" max="1031" width="15.125" style="806" customWidth="1"/>
    <col min="1032" max="1032" width="10.125" style="806" bestFit="1" customWidth="1"/>
    <col min="1033" max="1033" width="10.375" style="806" customWidth="1"/>
    <col min="1034" max="1034" width="10.125" style="806" bestFit="1" customWidth="1"/>
    <col min="1035" max="1280" width="8.875" style="806" customWidth="1"/>
    <col min="1281" max="1281" width="5.00390625" style="806" customWidth="1"/>
    <col min="1282" max="1282" width="11.00390625" style="806" customWidth="1"/>
    <col min="1283" max="1283" width="39.125" style="806" customWidth="1"/>
    <col min="1284" max="1284" width="3.375" style="806" customWidth="1"/>
    <col min="1285" max="1285" width="9.00390625" style="806" customWidth="1"/>
    <col min="1286" max="1286" width="9.875" style="806" customWidth="1"/>
    <col min="1287" max="1287" width="15.125" style="806" customWidth="1"/>
    <col min="1288" max="1288" width="10.125" style="806" bestFit="1" customWidth="1"/>
    <col min="1289" max="1289" width="10.375" style="806" customWidth="1"/>
    <col min="1290" max="1290" width="10.125" style="806" bestFit="1" customWidth="1"/>
    <col min="1291" max="1536" width="8.875" style="806" customWidth="1"/>
    <col min="1537" max="1537" width="5.00390625" style="806" customWidth="1"/>
    <col min="1538" max="1538" width="11.00390625" style="806" customWidth="1"/>
    <col min="1539" max="1539" width="39.125" style="806" customWidth="1"/>
    <col min="1540" max="1540" width="3.375" style="806" customWidth="1"/>
    <col min="1541" max="1541" width="9.00390625" style="806" customWidth="1"/>
    <col min="1542" max="1542" width="9.875" style="806" customWidth="1"/>
    <col min="1543" max="1543" width="15.125" style="806" customWidth="1"/>
    <col min="1544" max="1544" width="10.125" style="806" bestFit="1" customWidth="1"/>
    <col min="1545" max="1545" width="10.375" style="806" customWidth="1"/>
    <col min="1546" max="1546" width="10.125" style="806" bestFit="1" customWidth="1"/>
    <col min="1547" max="1792" width="8.875" style="806" customWidth="1"/>
    <col min="1793" max="1793" width="5.00390625" style="806" customWidth="1"/>
    <col min="1794" max="1794" width="11.00390625" style="806" customWidth="1"/>
    <col min="1795" max="1795" width="39.125" style="806" customWidth="1"/>
    <col min="1796" max="1796" width="3.375" style="806" customWidth="1"/>
    <col min="1797" max="1797" width="9.00390625" style="806" customWidth="1"/>
    <col min="1798" max="1798" width="9.875" style="806" customWidth="1"/>
    <col min="1799" max="1799" width="15.125" style="806" customWidth="1"/>
    <col min="1800" max="1800" width="10.125" style="806" bestFit="1" customWidth="1"/>
    <col min="1801" max="1801" width="10.375" style="806" customWidth="1"/>
    <col min="1802" max="1802" width="10.125" style="806" bestFit="1" customWidth="1"/>
    <col min="1803" max="2048" width="8.875" style="806" customWidth="1"/>
    <col min="2049" max="2049" width="5.00390625" style="806" customWidth="1"/>
    <col min="2050" max="2050" width="11.00390625" style="806" customWidth="1"/>
    <col min="2051" max="2051" width="39.125" style="806" customWidth="1"/>
    <col min="2052" max="2052" width="3.375" style="806" customWidth="1"/>
    <col min="2053" max="2053" width="9.00390625" style="806" customWidth="1"/>
    <col min="2054" max="2054" width="9.875" style="806" customWidth="1"/>
    <col min="2055" max="2055" width="15.125" style="806" customWidth="1"/>
    <col min="2056" max="2056" width="10.125" style="806" bestFit="1" customWidth="1"/>
    <col min="2057" max="2057" width="10.375" style="806" customWidth="1"/>
    <col min="2058" max="2058" width="10.125" style="806" bestFit="1" customWidth="1"/>
    <col min="2059" max="2304" width="8.875" style="806" customWidth="1"/>
    <col min="2305" max="2305" width="5.00390625" style="806" customWidth="1"/>
    <col min="2306" max="2306" width="11.00390625" style="806" customWidth="1"/>
    <col min="2307" max="2307" width="39.125" style="806" customWidth="1"/>
    <col min="2308" max="2308" width="3.375" style="806" customWidth="1"/>
    <col min="2309" max="2309" width="9.00390625" style="806" customWidth="1"/>
    <col min="2310" max="2310" width="9.875" style="806" customWidth="1"/>
    <col min="2311" max="2311" width="15.125" style="806" customWidth="1"/>
    <col min="2312" max="2312" width="10.125" style="806" bestFit="1" customWidth="1"/>
    <col min="2313" max="2313" width="10.375" style="806" customWidth="1"/>
    <col min="2314" max="2314" width="10.125" style="806" bestFit="1" customWidth="1"/>
    <col min="2315" max="2560" width="8.875" style="806" customWidth="1"/>
    <col min="2561" max="2561" width="5.00390625" style="806" customWidth="1"/>
    <col min="2562" max="2562" width="11.00390625" style="806" customWidth="1"/>
    <col min="2563" max="2563" width="39.125" style="806" customWidth="1"/>
    <col min="2564" max="2564" width="3.375" style="806" customWidth="1"/>
    <col min="2565" max="2565" width="9.00390625" style="806" customWidth="1"/>
    <col min="2566" max="2566" width="9.875" style="806" customWidth="1"/>
    <col min="2567" max="2567" width="15.125" style="806" customWidth="1"/>
    <col min="2568" max="2568" width="10.125" style="806" bestFit="1" customWidth="1"/>
    <col min="2569" max="2569" width="10.375" style="806" customWidth="1"/>
    <col min="2570" max="2570" width="10.125" style="806" bestFit="1" customWidth="1"/>
    <col min="2571" max="2816" width="8.875" style="806" customWidth="1"/>
    <col min="2817" max="2817" width="5.00390625" style="806" customWidth="1"/>
    <col min="2818" max="2818" width="11.00390625" style="806" customWidth="1"/>
    <col min="2819" max="2819" width="39.125" style="806" customWidth="1"/>
    <col min="2820" max="2820" width="3.375" style="806" customWidth="1"/>
    <col min="2821" max="2821" width="9.00390625" style="806" customWidth="1"/>
    <col min="2822" max="2822" width="9.875" style="806" customWidth="1"/>
    <col min="2823" max="2823" width="15.125" style="806" customWidth="1"/>
    <col min="2824" max="2824" width="10.125" style="806" bestFit="1" customWidth="1"/>
    <col min="2825" max="2825" width="10.375" style="806" customWidth="1"/>
    <col min="2826" max="2826" width="10.125" style="806" bestFit="1" customWidth="1"/>
    <col min="2827" max="3072" width="8.875" style="806" customWidth="1"/>
    <col min="3073" max="3073" width="5.00390625" style="806" customWidth="1"/>
    <col min="3074" max="3074" width="11.00390625" style="806" customWidth="1"/>
    <col min="3075" max="3075" width="39.125" style="806" customWidth="1"/>
    <col min="3076" max="3076" width="3.375" style="806" customWidth="1"/>
    <col min="3077" max="3077" width="9.00390625" style="806" customWidth="1"/>
    <col min="3078" max="3078" width="9.875" style="806" customWidth="1"/>
    <col min="3079" max="3079" width="15.125" style="806" customWidth="1"/>
    <col min="3080" max="3080" width="10.125" style="806" bestFit="1" customWidth="1"/>
    <col min="3081" max="3081" width="10.375" style="806" customWidth="1"/>
    <col min="3082" max="3082" width="10.125" style="806" bestFit="1" customWidth="1"/>
    <col min="3083" max="3328" width="8.875" style="806" customWidth="1"/>
    <col min="3329" max="3329" width="5.00390625" style="806" customWidth="1"/>
    <col min="3330" max="3330" width="11.00390625" style="806" customWidth="1"/>
    <col min="3331" max="3331" width="39.125" style="806" customWidth="1"/>
    <col min="3332" max="3332" width="3.375" style="806" customWidth="1"/>
    <col min="3333" max="3333" width="9.00390625" style="806" customWidth="1"/>
    <col min="3334" max="3334" width="9.875" style="806" customWidth="1"/>
    <col min="3335" max="3335" width="15.125" style="806" customWidth="1"/>
    <col min="3336" max="3336" width="10.125" style="806" bestFit="1" customWidth="1"/>
    <col min="3337" max="3337" width="10.375" style="806" customWidth="1"/>
    <col min="3338" max="3338" width="10.125" style="806" bestFit="1" customWidth="1"/>
    <col min="3339" max="3584" width="8.875" style="806" customWidth="1"/>
    <col min="3585" max="3585" width="5.00390625" style="806" customWidth="1"/>
    <col min="3586" max="3586" width="11.00390625" style="806" customWidth="1"/>
    <col min="3587" max="3587" width="39.125" style="806" customWidth="1"/>
    <col min="3588" max="3588" width="3.375" style="806" customWidth="1"/>
    <col min="3589" max="3589" width="9.00390625" style="806" customWidth="1"/>
    <col min="3590" max="3590" width="9.875" style="806" customWidth="1"/>
    <col min="3591" max="3591" width="15.125" style="806" customWidth="1"/>
    <col min="3592" max="3592" width="10.125" style="806" bestFit="1" customWidth="1"/>
    <col min="3593" max="3593" width="10.375" style="806" customWidth="1"/>
    <col min="3594" max="3594" width="10.125" style="806" bestFit="1" customWidth="1"/>
    <col min="3595" max="3840" width="8.875" style="806" customWidth="1"/>
    <col min="3841" max="3841" width="5.00390625" style="806" customWidth="1"/>
    <col min="3842" max="3842" width="11.00390625" style="806" customWidth="1"/>
    <col min="3843" max="3843" width="39.125" style="806" customWidth="1"/>
    <col min="3844" max="3844" width="3.375" style="806" customWidth="1"/>
    <col min="3845" max="3845" width="9.00390625" style="806" customWidth="1"/>
    <col min="3846" max="3846" width="9.875" style="806" customWidth="1"/>
    <col min="3847" max="3847" width="15.125" style="806" customWidth="1"/>
    <col min="3848" max="3848" width="10.125" style="806" bestFit="1" customWidth="1"/>
    <col min="3849" max="3849" width="10.375" style="806" customWidth="1"/>
    <col min="3850" max="3850" width="10.125" style="806" bestFit="1" customWidth="1"/>
    <col min="3851" max="4096" width="8.875" style="806" customWidth="1"/>
    <col min="4097" max="4097" width="5.00390625" style="806" customWidth="1"/>
    <col min="4098" max="4098" width="11.00390625" style="806" customWidth="1"/>
    <col min="4099" max="4099" width="39.125" style="806" customWidth="1"/>
    <col min="4100" max="4100" width="3.375" style="806" customWidth="1"/>
    <col min="4101" max="4101" width="9.00390625" style="806" customWidth="1"/>
    <col min="4102" max="4102" width="9.875" style="806" customWidth="1"/>
    <col min="4103" max="4103" width="15.125" style="806" customWidth="1"/>
    <col min="4104" max="4104" width="10.125" style="806" bestFit="1" customWidth="1"/>
    <col min="4105" max="4105" width="10.375" style="806" customWidth="1"/>
    <col min="4106" max="4106" width="10.125" style="806" bestFit="1" customWidth="1"/>
    <col min="4107" max="4352" width="8.875" style="806" customWidth="1"/>
    <col min="4353" max="4353" width="5.00390625" style="806" customWidth="1"/>
    <col min="4354" max="4354" width="11.00390625" style="806" customWidth="1"/>
    <col min="4355" max="4355" width="39.125" style="806" customWidth="1"/>
    <col min="4356" max="4356" width="3.375" style="806" customWidth="1"/>
    <col min="4357" max="4357" width="9.00390625" style="806" customWidth="1"/>
    <col min="4358" max="4358" width="9.875" style="806" customWidth="1"/>
    <col min="4359" max="4359" width="15.125" style="806" customWidth="1"/>
    <col min="4360" max="4360" width="10.125" style="806" bestFit="1" customWidth="1"/>
    <col min="4361" max="4361" width="10.375" style="806" customWidth="1"/>
    <col min="4362" max="4362" width="10.125" style="806" bestFit="1" customWidth="1"/>
    <col min="4363" max="4608" width="8.875" style="806" customWidth="1"/>
    <col min="4609" max="4609" width="5.00390625" style="806" customWidth="1"/>
    <col min="4610" max="4610" width="11.00390625" style="806" customWidth="1"/>
    <col min="4611" max="4611" width="39.125" style="806" customWidth="1"/>
    <col min="4612" max="4612" width="3.375" style="806" customWidth="1"/>
    <col min="4613" max="4613" width="9.00390625" style="806" customWidth="1"/>
    <col min="4614" max="4614" width="9.875" style="806" customWidth="1"/>
    <col min="4615" max="4615" width="15.125" style="806" customWidth="1"/>
    <col min="4616" max="4616" width="10.125" style="806" bestFit="1" customWidth="1"/>
    <col min="4617" max="4617" width="10.375" style="806" customWidth="1"/>
    <col min="4618" max="4618" width="10.125" style="806" bestFit="1" customWidth="1"/>
    <col min="4619" max="4864" width="8.875" style="806" customWidth="1"/>
    <col min="4865" max="4865" width="5.00390625" style="806" customWidth="1"/>
    <col min="4866" max="4866" width="11.00390625" style="806" customWidth="1"/>
    <col min="4867" max="4867" width="39.125" style="806" customWidth="1"/>
    <col min="4868" max="4868" width="3.375" style="806" customWidth="1"/>
    <col min="4869" max="4869" width="9.00390625" style="806" customWidth="1"/>
    <col min="4870" max="4870" width="9.875" style="806" customWidth="1"/>
    <col min="4871" max="4871" width="15.125" style="806" customWidth="1"/>
    <col min="4872" max="4872" width="10.125" style="806" bestFit="1" customWidth="1"/>
    <col min="4873" max="4873" width="10.375" style="806" customWidth="1"/>
    <col min="4874" max="4874" width="10.125" style="806" bestFit="1" customWidth="1"/>
    <col min="4875" max="5120" width="8.875" style="806" customWidth="1"/>
    <col min="5121" max="5121" width="5.00390625" style="806" customWidth="1"/>
    <col min="5122" max="5122" width="11.00390625" style="806" customWidth="1"/>
    <col min="5123" max="5123" width="39.125" style="806" customWidth="1"/>
    <col min="5124" max="5124" width="3.375" style="806" customWidth="1"/>
    <col min="5125" max="5125" width="9.00390625" style="806" customWidth="1"/>
    <col min="5126" max="5126" width="9.875" style="806" customWidth="1"/>
    <col min="5127" max="5127" width="15.125" style="806" customWidth="1"/>
    <col min="5128" max="5128" width="10.125" style="806" bestFit="1" customWidth="1"/>
    <col min="5129" max="5129" width="10.375" style="806" customWidth="1"/>
    <col min="5130" max="5130" width="10.125" style="806" bestFit="1" customWidth="1"/>
    <col min="5131" max="5376" width="8.875" style="806" customWidth="1"/>
    <col min="5377" max="5377" width="5.00390625" style="806" customWidth="1"/>
    <col min="5378" max="5378" width="11.00390625" style="806" customWidth="1"/>
    <col min="5379" max="5379" width="39.125" style="806" customWidth="1"/>
    <col min="5380" max="5380" width="3.375" style="806" customWidth="1"/>
    <col min="5381" max="5381" width="9.00390625" style="806" customWidth="1"/>
    <col min="5382" max="5382" width="9.875" style="806" customWidth="1"/>
    <col min="5383" max="5383" width="15.125" style="806" customWidth="1"/>
    <col min="5384" max="5384" width="10.125" style="806" bestFit="1" customWidth="1"/>
    <col min="5385" max="5385" width="10.375" style="806" customWidth="1"/>
    <col min="5386" max="5386" width="10.125" style="806" bestFit="1" customWidth="1"/>
    <col min="5387" max="5632" width="8.875" style="806" customWidth="1"/>
    <col min="5633" max="5633" width="5.00390625" style="806" customWidth="1"/>
    <col min="5634" max="5634" width="11.00390625" style="806" customWidth="1"/>
    <col min="5635" max="5635" width="39.125" style="806" customWidth="1"/>
    <col min="5636" max="5636" width="3.375" style="806" customWidth="1"/>
    <col min="5637" max="5637" width="9.00390625" style="806" customWidth="1"/>
    <col min="5638" max="5638" width="9.875" style="806" customWidth="1"/>
    <col min="5639" max="5639" width="15.125" style="806" customWidth="1"/>
    <col min="5640" max="5640" width="10.125" style="806" bestFit="1" customWidth="1"/>
    <col min="5641" max="5641" width="10.375" style="806" customWidth="1"/>
    <col min="5642" max="5642" width="10.125" style="806" bestFit="1" customWidth="1"/>
    <col min="5643" max="5888" width="8.875" style="806" customWidth="1"/>
    <col min="5889" max="5889" width="5.00390625" style="806" customWidth="1"/>
    <col min="5890" max="5890" width="11.00390625" style="806" customWidth="1"/>
    <col min="5891" max="5891" width="39.125" style="806" customWidth="1"/>
    <col min="5892" max="5892" width="3.375" style="806" customWidth="1"/>
    <col min="5893" max="5893" width="9.00390625" style="806" customWidth="1"/>
    <col min="5894" max="5894" width="9.875" style="806" customWidth="1"/>
    <col min="5895" max="5895" width="15.125" style="806" customWidth="1"/>
    <col min="5896" max="5896" width="10.125" style="806" bestFit="1" customWidth="1"/>
    <col min="5897" max="5897" width="10.375" style="806" customWidth="1"/>
    <col min="5898" max="5898" width="10.125" style="806" bestFit="1" customWidth="1"/>
    <col min="5899" max="6144" width="8.875" style="806" customWidth="1"/>
    <col min="6145" max="6145" width="5.00390625" style="806" customWidth="1"/>
    <col min="6146" max="6146" width="11.00390625" style="806" customWidth="1"/>
    <col min="6147" max="6147" width="39.125" style="806" customWidth="1"/>
    <col min="6148" max="6148" width="3.375" style="806" customWidth="1"/>
    <col min="6149" max="6149" width="9.00390625" style="806" customWidth="1"/>
    <col min="6150" max="6150" width="9.875" style="806" customWidth="1"/>
    <col min="6151" max="6151" width="15.125" style="806" customWidth="1"/>
    <col min="6152" max="6152" width="10.125" style="806" bestFit="1" customWidth="1"/>
    <col min="6153" max="6153" width="10.375" style="806" customWidth="1"/>
    <col min="6154" max="6154" width="10.125" style="806" bestFit="1" customWidth="1"/>
    <col min="6155" max="6400" width="8.875" style="806" customWidth="1"/>
    <col min="6401" max="6401" width="5.00390625" style="806" customWidth="1"/>
    <col min="6402" max="6402" width="11.00390625" style="806" customWidth="1"/>
    <col min="6403" max="6403" width="39.125" style="806" customWidth="1"/>
    <col min="6404" max="6404" width="3.375" style="806" customWidth="1"/>
    <col min="6405" max="6405" width="9.00390625" style="806" customWidth="1"/>
    <col min="6406" max="6406" width="9.875" style="806" customWidth="1"/>
    <col min="6407" max="6407" width="15.125" style="806" customWidth="1"/>
    <col min="6408" max="6408" width="10.125" style="806" bestFit="1" customWidth="1"/>
    <col min="6409" max="6409" width="10.375" style="806" customWidth="1"/>
    <col min="6410" max="6410" width="10.125" style="806" bestFit="1" customWidth="1"/>
    <col min="6411" max="6656" width="8.875" style="806" customWidth="1"/>
    <col min="6657" max="6657" width="5.00390625" style="806" customWidth="1"/>
    <col min="6658" max="6658" width="11.00390625" style="806" customWidth="1"/>
    <col min="6659" max="6659" width="39.125" style="806" customWidth="1"/>
    <col min="6660" max="6660" width="3.375" style="806" customWidth="1"/>
    <col min="6661" max="6661" width="9.00390625" style="806" customWidth="1"/>
    <col min="6662" max="6662" width="9.875" style="806" customWidth="1"/>
    <col min="6663" max="6663" width="15.125" style="806" customWidth="1"/>
    <col min="6664" max="6664" width="10.125" style="806" bestFit="1" customWidth="1"/>
    <col min="6665" max="6665" width="10.375" style="806" customWidth="1"/>
    <col min="6666" max="6666" width="10.125" style="806" bestFit="1" customWidth="1"/>
    <col min="6667" max="6912" width="8.875" style="806" customWidth="1"/>
    <col min="6913" max="6913" width="5.00390625" style="806" customWidth="1"/>
    <col min="6914" max="6914" width="11.00390625" style="806" customWidth="1"/>
    <col min="6915" max="6915" width="39.125" style="806" customWidth="1"/>
    <col min="6916" max="6916" width="3.375" style="806" customWidth="1"/>
    <col min="6917" max="6917" width="9.00390625" style="806" customWidth="1"/>
    <col min="6918" max="6918" width="9.875" style="806" customWidth="1"/>
    <col min="6919" max="6919" width="15.125" style="806" customWidth="1"/>
    <col min="6920" max="6920" width="10.125" style="806" bestFit="1" customWidth="1"/>
    <col min="6921" max="6921" width="10.375" style="806" customWidth="1"/>
    <col min="6922" max="6922" width="10.125" style="806" bestFit="1" customWidth="1"/>
    <col min="6923" max="7168" width="8.875" style="806" customWidth="1"/>
    <col min="7169" max="7169" width="5.00390625" style="806" customWidth="1"/>
    <col min="7170" max="7170" width="11.00390625" style="806" customWidth="1"/>
    <col min="7171" max="7171" width="39.125" style="806" customWidth="1"/>
    <col min="7172" max="7172" width="3.375" style="806" customWidth="1"/>
    <col min="7173" max="7173" width="9.00390625" style="806" customWidth="1"/>
    <col min="7174" max="7174" width="9.875" style="806" customWidth="1"/>
    <col min="7175" max="7175" width="15.125" style="806" customWidth="1"/>
    <col min="7176" max="7176" width="10.125" style="806" bestFit="1" customWidth="1"/>
    <col min="7177" max="7177" width="10.375" style="806" customWidth="1"/>
    <col min="7178" max="7178" width="10.125" style="806" bestFit="1" customWidth="1"/>
    <col min="7179" max="7424" width="8.875" style="806" customWidth="1"/>
    <col min="7425" max="7425" width="5.00390625" style="806" customWidth="1"/>
    <col min="7426" max="7426" width="11.00390625" style="806" customWidth="1"/>
    <col min="7427" max="7427" width="39.125" style="806" customWidth="1"/>
    <col min="7428" max="7428" width="3.375" style="806" customWidth="1"/>
    <col min="7429" max="7429" width="9.00390625" style="806" customWidth="1"/>
    <col min="7430" max="7430" width="9.875" style="806" customWidth="1"/>
    <col min="7431" max="7431" width="15.125" style="806" customWidth="1"/>
    <col min="7432" max="7432" width="10.125" style="806" bestFit="1" customWidth="1"/>
    <col min="7433" max="7433" width="10.375" style="806" customWidth="1"/>
    <col min="7434" max="7434" width="10.125" style="806" bestFit="1" customWidth="1"/>
    <col min="7435" max="7680" width="8.875" style="806" customWidth="1"/>
    <col min="7681" max="7681" width="5.00390625" style="806" customWidth="1"/>
    <col min="7682" max="7682" width="11.00390625" style="806" customWidth="1"/>
    <col min="7683" max="7683" width="39.125" style="806" customWidth="1"/>
    <col min="7684" max="7684" width="3.375" style="806" customWidth="1"/>
    <col min="7685" max="7685" width="9.00390625" style="806" customWidth="1"/>
    <col min="7686" max="7686" width="9.875" style="806" customWidth="1"/>
    <col min="7687" max="7687" width="15.125" style="806" customWidth="1"/>
    <col min="7688" max="7688" width="10.125" style="806" bestFit="1" customWidth="1"/>
    <col min="7689" max="7689" width="10.375" style="806" customWidth="1"/>
    <col min="7690" max="7690" width="10.125" style="806" bestFit="1" customWidth="1"/>
    <col min="7691" max="7936" width="8.875" style="806" customWidth="1"/>
    <col min="7937" max="7937" width="5.00390625" style="806" customWidth="1"/>
    <col min="7938" max="7938" width="11.00390625" style="806" customWidth="1"/>
    <col min="7939" max="7939" width="39.125" style="806" customWidth="1"/>
    <col min="7940" max="7940" width="3.375" style="806" customWidth="1"/>
    <col min="7941" max="7941" width="9.00390625" style="806" customWidth="1"/>
    <col min="7942" max="7942" width="9.875" style="806" customWidth="1"/>
    <col min="7943" max="7943" width="15.125" style="806" customWidth="1"/>
    <col min="7944" max="7944" width="10.125" style="806" bestFit="1" customWidth="1"/>
    <col min="7945" max="7945" width="10.375" style="806" customWidth="1"/>
    <col min="7946" max="7946" width="10.125" style="806" bestFit="1" customWidth="1"/>
    <col min="7947" max="8192" width="8.875" style="806" customWidth="1"/>
    <col min="8193" max="8193" width="5.00390625" style="806" customWidth="1"/>
    <col min="8194" max="8194" width="11.00390625" style="806" customWidth="1"/>
    <col min="8195" max="8195" width="39.125" style="806" customWidth="1"/>
    <col min="8196" max="8196" width="3.375" style="806" customWidth="1"/>
    <col min="8197" max="8197" width="9.00390625" style="806" customWidth="1"/>
    <col min="8198" max="8198" width="9.875" style="806" customWidth="1"/>
    <col min="8199" max="8199" width="15.125" style="806" customWidth="1"/>
    <col min="8200" max="8200" width="10.125" style="806" bestFit="1" customWidth="1"/>
    <col min="8201" max="8201" width="10.375" style="806" customWidth="1"/>
    <col min="8202" max="8202" width="10.125" style="806" bestFit="1" customWidth="1"/>
    <col min="8203" max="8448" width="8.875" style="806" customWidth="1"/>
    <col min="8449" max="8449" width="5.00390625" style="806" customWidth="1"/>
    <col min="8450" max="8450" width="11.00390625" style="806" customWidth="1"/>
    <col min="8451" max="8451" width="39.125" style="806" customWidth="1"/>
    <col min="8452" max="8452" width="3.375" style="806" customWidth="1"/>
    <col min="8453" max="8453" width="9.00390625" style="806" customWidth="1"/>
    <col min="8454" max="8454" width="9.875" style="806" customWidth="1"/>
    <col min="8455" max="8455" width="15.125" style="806" customWidth="1"/>
    <col min="8456" max="8456" width="10.125" style="806" bestFit="1" customWidth="1"/>
    <col min="8457" max="8457" width="10.375" style="806" customWidth="1"/>
    <col min="8458" max="8458" width="10.125" style="806" bestFit="1" customWidth="1"/>
    <col min="8459" max="8704" width="8.875" style="806" customWidth="1"/>
    <col min="8705" max="8705" width="5.00390625" style="806" customWidth="1"/>
    <col min="8706" max="8706" width="11.00390625" style="806" customWidth="1"/>
    <col min="8707" max="8707" width="39.125" style="806" customWidth="1"/>
    <col min="8708" max="8708" width="3.375" style="806" customWidth="1"/>
    <col min="8709" max="8709" width="9.00390625" style="806" customWidth="1"/>
    <col min="8710" max="8710" width="9.875" style="806" customWidth="1"/>
    <col min="8711" max="8711" width="15.125" style="806" customWidth="1"/>
    <col min="8712" max="8712" width="10.125" style="806" bestFit="1" customWidth="1"/>
    <col min="8713" max="8713" width="10.375" style="806" customWidth="1"/>
    <col min="8714" max="8714" width="10.125" style="806" bestFit="1" customWidth="1"/>
    <col min="8715" max="8960" width="8.875" style="806" customWidth="1"/>
    <col min="8961" max="8961" width="5.00390625" style="806" customWidth="1"/>
    <col min="8962" max="8962" width="11.00390625" style="806" customWidth="1"/>
    <col min="8963" max="8963" width="39.125" style="806" customWidth="1"/>
    <col min="8964" max="8964" width="3.375" style="806" customWidth="1"/>
    <col min="8965" max="8965" width="9.00390625" style="806" customWidth="1"/>
    <col min="8966" max="8966" width="9.875" style="806" customWidth="1"/>
    <col min="8967" max="8967" width="15.125" style="806" customWidth="1"/>
    <col min="8968" max="8968" width="10.125" style="806" bestFit="1" customWidth="1"/>
    <col min="8969" max="8969" width="10.375" style="806" customWidth="1"/>
    <col min="8970" max="8970" width="10.125" style="806" bestFit="1" customWidth="1"/>
    <col min="8971" max="9216" width="8.875" style="806" customWidth="1"/>
    <col min="9217" max="9217" width="5.00390625" style="806" customWidth="1"/>
    <col min="9218" max="9218" width="11.00390625" style="806" customWidth="1"/>
    <col min="9219" max="9219" width="39.125" style="806" customWidth="1"/>
    <col min="9220" max="9220" width="3.375" style="806" customWidth="1"/>
    <col min="9221" max="9221" width="9.00390625" style="806" customWidth="1"/>
    <col min="9222" max="9222" width="9.875" style="806" customWidth="1"/>
    <col min="9223" max="9223" width="15.125" style="806" customWidth="1"/>
    <col min="9224" max="9224" width="10.125" style="806" bestFit="1" customWidth="1"/>
    <col min="9225" max="9225" width="10.375" style="806" customWidth="1"/>
    <col min="9226" max="9226" width="10.125" style="806" bestFit="1" customWidth="1"/>
    <col min="9227" max="9472" width="8.875" style="806" customWidth="1"/>
    <col min="9473" max="9473" width="5.00390625" style="806" customWidth="1"/>
    <col min="9474" max="9474" width="11.00390625" style="806" customWidth="1"/>
    <col min="9475" max="9475" width="39.125" style="806" customWidth="1"/>
    <col min="9476" max="9476" width="3.375" style="806" customWidth="1"/>
    <col min="9477" max="9477" width="9.00390625" style="806" customWidth="1"/>
    <col min="9478" max="9478" width="9.875" style="806" customWidth="1"/>
    <col min="9479" max="9479" width="15.125" style="806" customWidth="1"/>
    <col min="9480" max="9480" width="10.125" style="806" bestFit="1" customWidth="1"/>
    <col min="9481" max="9481" width="10.375" style="806" customWidth="1"/>
    <col min="9482" max="9482" width="10.125" style="806" bestFit="1" customWidth="1"/>
    <col min="9483" max="9728" width="8.875" style="806" customWidth="1"/>
    <col min="9729" max="9729" width="5.00390625" style="806" customWidth="1"/>
    <col min="9730" max="9730" width="11.00390625" style="806" customWidth="1"/>
    <col min="9731" max="9731" width="39.125" style="806" customWidth="1"/>
    <col min="9732" max="9732" width="3.375" style="806" customWidth="1"/>
    <col min="9733" max="9733" width="9.00390625" style="806" customWidth="1"/>
    <col min="9734" max="9734" width="9.875" style="806" customWidth="1"/>
    <col min="9735" max="9735" width="15.125" style="806" customWidth="1"/>
    <col min="9736" max="9736" width="10.125" style="806" bestFit="1" customWidth="1"/>
    <col min="9737" max="9737" width="10.375" style="806" customWidth="1"/>
    <col min="9738" max="9738" width="10.125" style="806" bestFit="1" customWidth="1"/>
    <col min="9739" max="9984" width="8.875" style="806" customWidth="1"/>
    <col min="9985" max="9985" width="5.00390625" style="806" customWidth="1"/>
    <col min="9986" max="9986" width="11.00390625" style="806" customWidth="1"/>
    <col min="9987" max="9987" width="39.125" style="806" customWidth="1"/>
    <col min="9988" max="9988" width="3.375" style="806" customWidth="1"/>
    <col min="9989" max="9989" width="9.00390625" style="806" customWidth="1"/>
    <col min="9990" max="9990" width="9.875" style="806" customWidth="1"/>
    <col min="9991" max="9991" width="15.125" style="806" customWidth="1"/>
    <col min="9992" max="9992" width="10.125" style="806" bestFit="1" customWidth="1"/>
    <col min="9993" max="9993" width="10.375" style="806" customWidth="1"/>
    <col min="9994" max="9994" width="10.125" style="806" bestFit="1" customWidth="1"/>
    <col min="9995" max="10240" width="8.875" style="806" customWidth="1"/>
    <col min="10241" max="10241" width="5.00390625" style="806" customWidth="1"/>
    <col min="10242" max="10242" width="11.00390625" style="806" customWidth="1"/>
    <col min="10243" max="10243" width="39.125" style="806" customWidth="1"/>
    <col min="10244" max="10244" width="3.375" style="806" customWidth="1"/>
    <col min="10245" max="10245" width="9.00390625" style="806" customWidth="1"/>
    <col min="10246" max="10246" width="9.875" style="806" customWidth="1"/>
    <col min="10247" max="10247" width="15.125" style="806" customWidth="1"/>
    <col min="10248" max="10248" width="10.125" style="806" bestFit="1" customWidth="1"/>
    <col min="10249" max="10249" width="10.375" style="806" customWidth="1"/>
    <col min="10250" max="10250" width="10.125" style="806" bestFit="1" customWidth="1"/>
    <col min="10251" max="10496" width="8.875" style="806" customWidth="1"/>
    <col min="10497" max="10497" width="5.00390625" style="806" customWidth="1"/>
    <col min="10498" max="10498" width="11.00390625" style="806" customWidth="1"/>
    <col min="10499" max="10499" width="39.125" style="806" customWidth="1"/>
    <col min="10500" max="10500" width="3.375" style="806" customWidth="1"/>
    <col min="10501" max="10501" width="9.00390625" style="806" customWidth="1"/>
    <col min="10502" max="10502" width="9.875" style="806" customWidth="1"/>
    <col min="10503" max="10503" width="15.125" style="806" customWidth="1"/>
    <col min="10504" max="10504" width="10.125" style="806" bestFit="1" customWidth="1"/>
    <col min="10505" max="10505" width="10.375" style="806" customWidth="1"/>
    <col min="10506" max="10506" width="10.125" style="806" bestFit="1" customWidth="1"/>
    <col min="10507" max="10752" width="8.875" style="806" customWidth="1"/>
    <col min="10753" max="10753" width="5.00390625" style="806" customWidth="1"/>
    <col min="10754" max="10754" width="11.00390625" style="806" customWidth="1"/>
    <col min="10755" max="10755" width="39.125" style="806" customWidth="1"/>
    <col min="10756" max="10756" width="3.375" style="806" customWidth="1"/>
    <col min="10757" max="10757" width="9.00390625" style="806" customWidth="1"/>
    <col min="10758" max="10758" width="9.875" style="806" customWidth="1"/>
    <col min="10759" max="10759" width="15.125" style="806" customWidth="1"/>
    <col min="10760" max="10760" width="10.125" style="806" bestFit="1" customWidth="1"/>
    <col min="10761" max="10761" width="10.375" style="806" customWidth="1"/>
    <col min="10762" max="10762" width="10.125" style="806" bestFit="1" customWidth="1"/>
    <col min="10763" max="11008" width="8.875" style="806" customWidth="1"/>
    <col min="11009" max="11009" width="5.00390625" style="806" customWidth="1"/>
    <col min="11010" max="11010" width="11.00390625" style="806" customWidth="1"/>
    <col min="11011" max="11011" width="39.125" style="806" customWidth="1"/>
    <col min="11012" max="11012" width="3.375" style="806" customWidth="1"/>
    <col min="11013" max="11013" width="9.00390625" style="806" customWidth="1"/>
    <col min="11014" max="11014" width="9.875" style="806" customWidth="1"/>
    <col min="11015" max="11015" width="15.125" style="806" customWidth="1"/>
    <col min="11016" max="11016" width="10.125" style="806" bestFit="1" customWidth="1"/>
    <col min="11017" max="11017" width="10.375" style="806" customWidth="1"/>
    <col min="11018" max="11018" width="10.125" style="806" bestFit="1" customWidth="1"/>
    <col min="11019" max="11264" width="8.875" style="806" customWidth="1"/>
    <col min="11265" max="11265" width="5.00390625" style="806" customWidth="1"/>
    <col min="11266" max="11266" width="11.00390625" style="806" customWidth="1"/>
    <col min="11267" max="11267" width="39.125" style="806" customWidth="1"/>
    <col min="11268" max="11268" width="3.375" style="806" customWidth="1"/>
    <col min="11269" max="11269" width="9.00390625" style="806" customWidth="1"/>
    <col min="11270" max="11270" width="9.875" style="806" customWidth="1"/>
    <col min="11271" max="11271" width="15.125" style="806" customWidth="1"/>
    <col min="11272" max="11272" width="10.125" style="806" bestFit="1" customWidth="1"/>
    <col min="11273" max="11273" width="10.375" style="806" customWidth="1"/>
    <col min="11274" max="11274" width="10.125" style="806" bestFit="1" customWidth="1"/>
    <col min="11275" max="11520" width="8.875" style="806" customWidth="1"/>
    <col min="11521" max="11521" width="5.00390625" style="806" customWidth="1"/>
    <col min="11522" max="11522" width="11.00390625" style="806" customWidth="1"/>
    <col min="11523" max="11523" width="39.125" style="806" customWidth="1"/>
    <col min="11524" max="11524" width="3.375" style="806" customWidth="1"/>
    <col min="11525" max="11525" width="9.00390625" style="806" customWidth="1"/>
    <col min="11526" max="11526" width="9.875" style="806" customWidth="1"/>
    <col min="11527" max="11527" width="15.125" style="806" customWidth="1"/>
    <col min="11528" max="11528" width="10.125" style="806" bestFit="1" customWidth="1"/>
    <col min="11529" max="11529" width="10.375" style="806" customWidth="1"/>
    <col min="11530" max="11530" width="10.125" style="806" bestFit="1" customWidth="1"/>
    <col min="11531" max="11776" width="8.875" style="806" customWidth="1"/>
    <col min="11777" max="11777" width="5.00390625" style="806" customWidth="1"/>
    <col min="11778" max="11778" width="11.00390625" style="806" customWidth="1"/>
    <col min="11779" max="11779" width="39.125" style="806" customWidth="1"/>
    <col min="11780" max="11780" width="3.375" style="806" customWidth="1"/>
    <col min="11781" max="11781" width="9.00390625" style="806" customWidth="1"/>
    <col min="11782" max="11782" width="9.875" style="806" customWidth="1"/>
    <col min="11783" max="11783" width="15.125" style="806" customWidth="1"/>
    <col min="11784" max="11784" width="10.125" style="806" bestFit="1" customWidth="1"/>
    <col min="11785" max="11785" width="10.375" style="806" customWidth="1"/>
    <col min="11786" max="11786" width="10.125" style="806" bestFit="1" customWidth="1"/>
    <col min="11787" max="12032" width="8.875" style="806" customWidth="1"/>
    <col min="12033" max="12033" width="5.00390625" style="806" customWidth="1"/>
    <col min="12034" max="12034" width="11.00390625" style="806" customWidth="1"/>
    <col min="12035" max="12035" width="39.125" style="806" customWidth="1"/>
    <col min="12036" max="12036" width="3.375" style="806" customWidth="1"/>
    <col min="12037" max="12037" width="9.00390625" style="806" customWidth="1"/>
    <col min="12038" max="12038" width="9.875" style="806" customWidth="1"/>
    <col min="12039" max="12039" width="15.125" style="806" customWidth="1"/>
    <col min="12040" max="12040" width="10.125" style="806" bestFit="1" customWidth="1"/>
    <col min="12041" max="12041" width="10.375" style="806" customWidth="1"/>
    <col min="12042" max="12042" width="10.125" style="806" bestFit="1" customWidth="1"/>
    <col min="12043" max="12288" width="8.875" style="806" customWidth="1"/>
    <col min="12289" max="12289" width="5.00390625" style="806" customWidth="1"/>
    <col min="12290" max="12290" width="11.00390625" style="806" customWidth="1"/>
    <col min="12291" max="12291" width="39.125" style="806" customWidth="1"/>
    <col min="12292" max="12292" width="3.375" style="806" customWidth="1"/>
    <col min="12293" max="12293" width="9.00390625" style="806" customWidth="1"/>
    <col min="12294" max="12294" width="9.875" style="806" customWidth="1"/>
    <col min="12295" max="12295" width="15.125" style="806" customWidth="1"/>
    <col min="12296" max="12296" width="10.125" style="806" bestFit="1" customWidth="1"/>
    <col min="12297" max="12297" width="10.375" style="806" customWidth="1"/>
    <col min="12298" max="12298" width="10.125" style="806" bestFit="1" customWidth="1"/>
    <col min="12299" max="12544" width="8.875" style="806" customWidth="1"/>
    <col min="12545" max="12545" width="5.00390625" style="806" customWidth="1"/>
    <col min="12546" max="12546" width="11.00390625" style="806" customWidth="1"/>
    <col min="12547" max="12547" width="39.125" style="806" customWidth="1"/>
    <col min="12548" max="12548" width="3.375" style="806" customWidth="1"/>
    <col min="12549" max="12549" width="9.00390625" style="806" customWidth="1"/>
    <col min="12550" max="12550" width="9.875" style="806" customWidth="1"/>
    <col min="12551" max="12551" width="15.125" style="806" customWidth="1"/>
    <col min="12552" max="12552" width="10.125" style="806" bestFit="1" customWidth="1"/>
    <col min="12553" max="12553" width="10.375" style="806" customWidth="1"/>
    <col min="12554" max="12554" width="10.125" style="806" bestFit="1" customWidth="1"/>
    <col min="12555" max="12800" width="8.875" style="806" customWidth="1"/>
    <col min="12801" max="12801" width="5.00390625" style="806" customWidth="1"/>
    <col min="12802" max="12802" width="11.00390625" style="806" customWidth="1"/>
    <col min="12803" max="12803" width="39.125" style="806" customWidth="1"/>
    <col min="12804" max="12804" width="3.375" style="806" customWidth="1"/>
    <col min="12805" max="12805" width="9.00390625" style="806" customWidth="1"/>
    <col min="12806" max="12806" width="9.875" style="806" customWidth="1"/>
    <col min="12807" max="12807" width="15.125" style="806" customWidth="1"/>
    <col min="12808" max="12808" width="10.125" style="806" bestFit="1" customWidth="1"/>
    <col min="12809" max="12809" width="10.375" style="806" customWidth="1"/>
    <col min="12810" max="12810" width="10.125" style="806" bestFit="1" customWidth="1"/>
    <col min="12811" max="13056" width="8.875" style="806" customWidth="1"/>
    <col min="13057" max="13057" width="5.00390625" style="806" customWidth="1"/>
    <col min="13058" max="13058" width="11.00390625" style="806" customWidth="1"/>
    <col min="13059" max="13059" width="39.125" style="806" customWidth="1"/>
    <col min="13060" max="13060" width="3.375" style="806" customWidth="1"/>
    <col min="13061" max="13061" width="9.00390625" style="806" customWidth="1"/>
    <col min="13062" max="13062" width="9.875" style="806" customWidth="1"/>
    <col min="13063" max="13063" width="15.125" style="806" customWidth="1"/>
    <col min="13064" max="13064" width="10.125" style="806" bestFit="1" customWidth="1"/>
    <col min="13065" max="13065" width="10.375" style="806" customWidth="1"/>
    <col min="13066" max="13066" width="10.125" style="806" bestFit="1" customWidth="1"/>
    <col min="13067" max="13312" width="8.875" style="806" customWidth="1"/>
    <col min="13313" max="13313" width="5.00390625" style="806" customWidth="1"/>
    <col min="13314" max="13314" width="11.00390625" style="806" customWidth="1"/>
    <col min="13315" max="13315" width="39.125" style="806" customWidth="1"/>
    <col min="13316" max="13316" width="3.375" style="806" customWidth="1"/>
    <col min="13317" max="13317" width="9.00390625" style="806" customWidth="1"/>
    <col min="13318" max="13318" width="9.875" style="806" customWidth="1"/>
    <col min="13319" max="13319" width="15.125" style="806" customWidth="1"/>
    <col min="13320" max="13320" width="10.125" style="806" bestFit="1" customWidth="1"/>
    <col min="13321" max="13321" width="10.375" style="806" customWidth="1"/>
    <col min="13322" max="13322" width="10.125" style="806" bestFit="1" customWidth="1"/>
    <col min="13323" max="13568" width="8.875" style="806" customWidth="1"/>
    <col min="13569" max="13569" width="5.00390625" style="806" customWidth="1"/>
    <col min="13570" max="13570" width="11.00390625" style="806" customWidth="1"/>
    <col min="13571" max="13571" width="39.125" style="806" customWidth="1"/>
    <col min="13572" max="13572" width="3.375" style="806" customWidth="1"/>
    <col min="13573" max="13573" width="9.00390625" style="806" customWidth="1"/>
    <col min="13574" max="13574" width="9.875" style="806" customWidth="1"/>
    <col min="13575" max="13575" width="15.125" style="806" customWidth="1"/>
    <col min="13576" max="13576" width="10.125" style="806" bestFit="1" customWidth="1"/>
    <col min="13577" max="13577" width="10.375" style="806" customWidth="1"/>
    <col min="13578" max="13578" width="10.125" style="806" bestFit="1" customWidth="1"/>
    <col min="13579" max="13824" width="8.875" style="806" customWidth="1"/>
    <col min="13825" max="13825" width="5.00390625" style="806" customWidth="1"/>
    <col min="13826" max="13826" width="11.00390625" style="806" customWidth="1"/>
    <col min="13827" max="13827" width="39.125" style="806" customWidth="1"/>
    <col min="13828" max="13828" width="3.375" style="806" customWidth="1"/>
    <col min="13829" max="13829" width="9.00390625" style="806" customWidth="1"/>
    <col min="13830" max="13830" width="9.875" style="806" customWidth="1"/>
    <col min="13831" max="13831" width="15.125" style="806" customWidth="1"/>
    <col min="13832" max="13832" width="10.125" style="806" bestFit="1" customWidth="1"/>
    <col min="13833" max="13833" width="10.375" style="806" customWidth="1"/>
    <col min="13834" max="13834" width="10.125" style="806" bestFit="1" customWidth="1"/>
    <col min="13835" max="14080" width="8.875" style="806" customWidth="1"/>
    <col min="14081" max="14081" width="5.00390625" style="806" customWidth="1"/>
    <col min="14082" max="14082" width="11.00390625" style="806" customWidth="1"/>
    <col min="14083" max="14083" width="39.125" style="806" customWidth="1"/>
    <col min="14084" max="14084" width="3.375" style="806" customWidth="1"/>
    <col min="14085" max="14085" width="9.00390625" style="806" customWidth="1"/>
    <col min="14086" max="14086" width="9.875" style="806" customWidth="1"/>
    <col min="14087" max="14087" width="15.125" style="806" customWidth="1"/>
    <col min="14088" max="14088" width="10.125" style="806" bestFit="1" customWidth="1"/>
    <col min="14089" max="14089" width="10.375" style="806" customWidth="1"/>
    <col min="14090" max="14090" width="10.125" style="806" bestFit="1" customWidth="1"/>
    <col min="14091" max="14336" width="8.875" style="806" customWidth="1"/>
    <col min="14337" max="14337" width="5.00390625" style="806" customWidth="1"/>
    <col min="14338" max="14338" width="11.00390625" style="806" customWidth="1"/>
    <col min="14339" max="14339" width="39.125" style="806" customWidth="1"/>
    <col min="14340" max="14340" width="3.375" style="806" customWidth="1"/>
    <col min="14341" max="14341" width="9.00390625" style="806" customWidth="1"/>
    <col min="14342" max="14342" width="9.875" style="806" customWidth="1"/>
    <col min="14343" max="14343" width="15.125" style="806" customWidth="1"/>
    <col min="14344" max="14344" width="10.125" style="806" bestFit="1" customWidth="1"/>
    <col min="14345" max="14345" width="10.375" style="806" customWidth="1"/>
    <col min="14346" max="14346" width="10.125" style="806" bestFit="1" customWidth="1"/>
    <col min="14347" max="14592" width="8.875" style="806" customWidth="1"/>
    <col min="14593" max="14593" width="5.00390625" style="806" customWidth="1"/>
    <col min="14594" max="14594" width="11.00390625" style="806" customWidth="1"/>
    <col min="14595" max="14595" width="39.125" style="806" customWidth="1"/>
    <col min="14596" max="14596" width="3.375" style="806" customWidth="1"/>
    <col min="14597" max="14597" width="9.00390625" style="806" customWidth="1"/>
    <col min="14598" max="14598" width="9.875" style="806" customWidth="1"/>
    <col min="14599" max="14599" width="15.125" style="806" customWidth="1"/>
    <col min="14600" max="14600" width="10.125" style="806" bestFit="1" customWidth="1"/>
    <col min="14601" max="14601" width="10.375" style="806" customWidth="1"/>
    <col min="14602" max="14602" width="10.125" style="806" bestFit="1" customWidth="1"/>
    <col min="14603" max="14848" width="8.875" style="806" customWidth="1"/>
    <col min="14849" max="14849" width="5.00390625" style="806" customWidth="1"/>
    <col min="14850" max="14850" width="11.00390625" style="806" customWidth="1"/>
    <col min="14851" max="14851" width="39.125" style="806" customWidth="1"/>
    <col min="14852" max="14852" width="3.375" style="806" customWidth="1"/>
    <col min="14853" max="14853" width="9.00390625" style="806" customWidth="1"/>
    <col min="14854" max="14854" width="9.875" style="806" customWidth="1"/>
    <col min="14855" max="14855" width="15.125" style="806" customWidth="1"/>
    <col min="14856" max="14856" width="10.125" style="806" bestFit="1" customWidth="1"/>
    <col min="14857" max="14857" width="10.375" style="806" customWidth="1"/>
    <col min="14858" max="14858" width="10.125" style="806" bestFit="1" customWidth="1"/>
    <col min="14859" max="15104" width="8.875" style="806" customWidth="1"/>
    <col min="15105" max="15105" width="5.00390625" style="806" customWidth="1"/>
    <col min="15106" max="15106" width="11.00390625" style="806" customWidth="1"/>
    <col min="15107" max="15107" width="39.125" style="806" customWidth="1"/>
    <col min="15108" max="15108" width="3.375" style="806" customWidth="1"/>
    <col min="15109" max="15109" width="9.00390625" style="806" customWidth="1"/>
    <col min="15110" max="15110" width="9.875" style="806" customWidth="1"/>
    <col min="15111" max="15111" width="15.125" style="806" customWidth="1"/>
    <col min="15112" max="15112" width="10.125" style="806" bestFit="1" customWidth="1"/>
    <col min="15113" max="15113" width="10.375" style="806" customWidth="1"/>
    <col min="15114" max="15114" width="10.125" style="806" bestFit="1" customWidth="1"/>
    <col min="15115" max="15360" width="8.875" style="806" customWidth="1"/>
    <col min="15361" max="15361" width="5.00390625" style="806" customWidth="1"/>
    <col min="15362" max="15362" width="11.00390625" style="806" customWidth="1"/>
    <col min="15363" max="15363" width="39.125" style="806" customWidth="1"/>
    <col min="15364" max="15364" width="3.375" style="806" customWidth="1"/>
    <col min="15365" max="15365" width="9.00390625" style="806" customWidth="1"/>
    <col min="15366" max="15366" width="9.875" style="806" customWidth="1"/>
    <col min="15367" max="15367" width="15.125" style="806" customWidth="1"/>
    <col min="15368" max="15368" width="10.125" style="806" bestFit="1" customWidth="1"/>
    <col min="15369" max="15369" width="10.375" style="806" customWidth="1"/>
    <col min="15370" max="15370" width="10.125" style="806" bestFit="1" customWidth="1"/>
    <col min="15371" max="15616" width="8.875" style="806" customWidth="1"/>
    <col min="15617" max="15617" width="5.00390625" style="806" customWidth="1"/>
    <col min="15618" max="15618" width="11.00390625" style="806" customWidth="1"/>
    <col min="15619" max="15619" width="39.125" style="806" customWidth="1"/>
    <col min="15620" max="15620" width="3.375" style="806" customWidth="1"/>
    <col min="15621" max="15621" width="9.00390625" style="806" customWidth="1"/>
    <col min="15622" max="15622" width="9.875" style="806" customWidth="1"/>
    <col min="15623" max="15623" width="15.125" style="806" customWidth="1"/>
    <col min="15624" max="15624" width="10.125" style="806" bestFit="1" customWidth="1"/>
    <col min="15625" max="15625" width="10.375" style="806" customWidth="1"/>
    <col min="15626" max="15626" width="10.125" style="806" bestFit="1" customWidth="1"/>
    <col min="15627" max="15872" width="8.875" style="806" customWidth="1"/>
    <col min="15873" max="15873" width="5.00390625" style="806" customWidth="1"/>
    <col min="15874" max="15874" width="11.00390625" style="806" customWidth="1"/>
    <col min="15875" max="15875" width="39.125" style="806" customWidth="1"/>
    <col min="15876" max="15876" width="3.375" style="806" customWidth="1"/>
    <col min="15877" max="15877" width="9.00390625" style="806" customWidth="1"/>
    <col min="15878" max="15878" width="9.875" style="806" customWidth="1"/>
    <col min="15879" max="15879" width="15.125" style="806" customWidth="1"/>
    <col min="15880" max="15880" width="10.125" style="806" bestFit="1" customWidth="1"/>
    <col min="15881" max="15881" width="10.375" style="806" customWidth="1"/>
    <col min="15882" max="15882" width="10.125" style="806" bestFit="1" customWidth="1"/>
    <col min="15883" max="16128" width="8.875" style="806" customWidth="1"/>
    <col min="16129" max="16129" width="5.00390625" style="806" customWidth="1"/>
    <col min="16130" max="16130" width="11.00390625" style="806" customWidth="1"/>
    <col min="16131" max="16131" width="39.125" style="806" customWidth="1"/>
    <col min="16132" max="16132" width="3.375" style="806" customWidth="1"/>
    <col min="16133" max="16133" width="9.00390625" style="806" customWidth="1"/>
    <col min="16134" max="16134" width="9.875" style="806" customWidth="1"/>
    <col min="16135" max="16135" width="15.125" style="806" customWidth="1"/>
    <col min="16136" max="16136" width="10.125" style="806" bestFit="1" customWidth="1"/>
    <col min="16137" max="16137" width="10.375" style="806" customWidth="1"/>
    <col min="16138" max="16138" width="10.125" style="806" bestFit="1" customWidth="1"/>
    <col min="16139" max="16384" width="8.875" style="806" customWidth="1"/>
  </cols>
  <sheetData>
    <row r="1" spans="1:8" s="804" customFormat="1" ht="16.8">
      <c r="A1" s="801"/>
      <c r="B1" s="1660" t="s">
        <v>1632</v>
      </c>
      <c r="C1" s="1660"/>
      <c r="D1" s="802"/>
      <c r="E1" s="802"/>
      <c r="F1" s="802"/>
      <c r="G1" s="802"/>
      <c r="H1" s="803"/>
    </row>
    <row r="2" spans="1:7" ht="12.75">
      <c r="A2" s="805"/>
      <c r="B2" s="805"/>
      <c r="C2" s="805"/>
      <c r="D2" s="805"/>
      <c r="E2" s="805"/>
      <c r="F2" s="805"/>
      <c r="G2" s="805"/>
    </row>
    <row r="3" spans="1:8" s="808" customFormat="1" ht="21">
      <c r="A3" s="1661" t="s">
        <v>1633</v>
      </c>
      <c r="B3" s="1661"/>
      <c r="C3" s="1661"/>
      <c r="D3" s="1661"/>
      <c r="E3" s="1661"/>
      <c r="F3" s="1661"/>
      <c r="G3" s="1661"/>
      <c r="H3" s="807"/>
    </row>
    <row r="4" spans="1:8" s="809" customFormat="1" ht="21">
      <c r="A4" s="1661" t="s">
        <v>1634</v>
      </c>
      <c r="B4" s="1661"/>
      <c r="C4" s="1661"/>
      <c r="D4" s="1661"/>
      <c r="E4" s="1661"/>
      <c r="F4" s="1661"/>
      <c r="G4" s="1661"/>
      <c r="H4" s="807"/>
    </row>
    <row r="5" spans="1:8" s="809" customFormat="1" ht="21">
      <c r="A5" s="810"/>
      <c r="B5" s="810"/>
      <c r="C5" s="810"/>
      <c r="D5" s="810"/>
      <c r="E5" s="810"/>
      <c r="F5" s="810"/>
      <c r="G5" s="810"/>
      <c r="H5" s="807"/>
    </row>
    <row r="6" spans="1:7" ht="12.75">
      <c r="A6" s="811"/>
      <c r="B6" s="811"/>
      <c r="C6" s="811"/>
      <c r="D6" s="811"/>
      <c r="E6" s="811"/>
      <c r="F6" s="811"/>
      <c r="G6" s="811"/>
    </row>
    <row r="7" spans="1:7" s="815" customFormat="1" ht="12.75">
      <c r="A7" s="812"/>
      <c r="B7" s="813" t="s">
        <v>1635</v>
      </c>
      <c r="C7" s="813"/>
      <c r="D7" s="814"/>
      <c r="E7" s="814"/>
      <c r="F7" s="814"/>
      <c r="G7" s="814"/>
    </row>
    <row r="8" spans="1:7" s="815" customFormat="1" ht="12.75">
      <c r="A8" s="812"/>
      <c r="B8" s="814"/>
      <c r="C8" s="813"/>
      <c r="D8" s="814"/>
      <c r="E8" s="814"/>
      <c r="F8" s="814"/>
      <c r="G8" s="814"/>
    </row>
    <row r="9" spans="1:7" s="815" customFormat="1" ht="12.75">
      <c r="A9" s="812"/>
      <c r="B9" s="814"/>
      <c r="C9" s="813"/>
      <c r="D9" s="814"/>
      <c r="E9" s="814"/>
      <c r="F9" s="814"/>
      <c r="G9" s="814"/>
    </row>
    <row r="10" spans="1:7" s="815" customFormat="1" ht="12.75">
      <c r="A10" s="812"/>
      <c r="B10" s="816" t="s">
        <v>1636</v>
      </c>
      <c r="C10" s="1662" t="s">
        <v>1656</v>
      </c>
      <c r="D10" s="1659"/>
      <c r="E10" s="1659"/>
      <c r="F10" s="1659"/>
      <c r="G10" s="1659"/>
    </row>
    <row r="11" spans="1:7" s="815" customFormat="1" ht="12.75">
      <c r="A11" s="812"/>
      <c r="B11" s="816"/>
      <c r="C11" s="1662"/>
      <c r="D11" s="1659"/>
      <c r="E11" s="1659"/>
      <c r="F11" s="1659"/>
      <c r="G11" s="1659"/>
    </row>
    <row r="12" spans="1:7" s="815" customFormat="1" ht="12.75">
      <c r="A12" s="812"/>
      <c r="B12" s="816"/>
      <c r="C12" s="817"/>
      <c r="D12" s="817"/>
      <c r="E12" s="817"/>
      <c r="F12" s="817"/>
      <c r="G12" s="818"/>
    </row>
    <row r="13" spans="1:7" s="815" customFormat="1" ht="12.75">
      <c r="A13" s="812"/>
      <c r="B13" s="816" t="s">
        <v>1638</v>
      </c>
      <c r="C13" s="1658" t="s">
        <v>1657</v>
      </c>
      <c r="D13" s="1659"/>
      <c r="E13" s="819"/>
      <c r="F13" s="818"/>
      <c r="G13" s="818"/>
    </row>
    <row r="14" spans="1:7" s="815" customFormat="1" ht="12.75">
      <c r="A14" s="812"/>
      <c r="B14" s="816"/>
      <c r="C14" s="820"/>
      <c r="D14" s="817"/>
      <c r="E14" s="819"/>
      <c r="F14" s="818"/>
      <c r="G14" s="818"/>
    </row>
    <row r="15" spans="1:7" ht="12.75">
      <c r="A15" s="802"/>
      <c r="B15" s="1653"/>
      <c r="C15" s="1654"/>
      <c r="D15" s="802"/>
      <c r="E15" s="802"/>
      <c r="F15" s="821"/>
      <c r="G15" s="821"/>
    </row>
    <row r="16" spans="1:7" s="815" customFormat="1" ht="24.6">
      <c r="A16" s="802"/>
      <c r="B16" s="1655" t="s">
        <v>1640</v>
      </c>
      <c r="C16" s="1655"/>
      <c r="D16" s="1655"/>
      <c r="E16" s="1655"/>
      <c r="F16" s="1655"/>
      <c r="G16" s="1655"/>
    </row>
    <row r="17" spans="1:7" s="815" customFormat="1" ht="12.75" customHeight="1">
      <c r="A17" s="802"/>
      <c r="B17" s="822"/>
      <c r="C17" s="823"/>
      <c r="D17" s="824"/>
      <c r="E17" s="824"/>
      <c r="F17" s="824"/>
      <c r="G17" s="824"/>
    </row>
    <row r="18" spans="1:7" s="815" customFormat="1" ht="13.8">
      <c r="A18" s="825"/>
      <c r="B18" s="826" t="s">
        <v>1641</v>
      </c>
      <c r="C18" s="827"/>
      <c r="D18" s="828"/>
      <c r="E18" s="1650">
        <v>0</v>
      </c>
      <c r="F18" s="1652"/>
      <c r="G18" s="829"/>
    </row>
    <row r="19" spans="1:7" s="815" customFormat="1" ht="13.8">
      <c r="A19" s="825"/>
      <c r="B19" s="826"/>
      <c r="C19" s="827"/>
      <c r="D19" s="828"/>
      <c r="E19" s="830"/>
      <c r="F19" s="831"/>
      <c r="G19" s="829"/>
    </row>
    <row r="20" spans="1:7" s="815" customFormat="1" ht="13.8">
      <c r="A20" s="832"/>
      <c r="B20" s="826" t="s">
        <v>1642</v>
      </c>
      <c r="C20" s="833"/>
      <c r="D20" s="834"/>
      <c r="E20" s="1650">
        <v>0</v>
      </c>
      <c r="F20" s="1651"/>
      <c r="G20" s="835"/>
    </row>
    <row r="21" spans="1:7" s="815" customFormat="1" ht="13.8">
      <c r="A21" s="832"/>
      <c r="B21" s="826"/>
      <c r="C21" s="833"/>
      <c r="D21" s="834"/>
      <c r="E21" s="830"/>
      <c r="F21" s="836"/>
      <c r="G21" s="835"/>
    </row>
    <row r="22" spans="1:7" s="815" customFormat="1" ht="13.8">
      <c r="A22" s="832"/>
      <c r="B22" s="826" t="s">
        <v>1643</v>
      </c>
      <c r="C22" s="833"/>
      <c r="D22" s="834"/>
      <c r="E22" s="1650">
        <v>0</v>
      </c>
      <c r="F22" s="1651"/>
      <c r="G22" s="835"/>
    </row>
    <row r="23" spans="1:7" s="815" customFormat="1" ht="13.8">
      <c r="A23" s="825"/>
      <c r="B23" s="826"/>
      <c r="C23" s="827"/>
      <c r="D23" s="828"/>
      <c r="E23" s="830"/>
      <c r="F23" s="831"/>
      <c r="G23" s="829"/>
    </row>
    <row r="24" spans="1:7" s="815" customFormat="1" ht="13.8">
      <c r="A24" s="832"/>
      <c r="B24" s="826" t="s">
        <v>1644</v>
      </c>
      <c r="C24" s="833"/>
      <c r="D24" s="834"/>
      <c r="E24" s="1650">
        <v>0</v>
      </c>
      <c r="F24" s="1651"/>
      <c r="G24" s="835"/>
    </row>
    <row r="25" spans="1:7" s="815" customFormat="1" ht="13.8">
      <c r="A25" s="825"/>
      <c r="B25" s="826"/>
      <c r="C25" s="827"/>
      <c r="D25" s="828"/>
      <c r="E25" s="830"/>
      <c r="F25" s="831"/>
      <c r="G25" s="829"/>
    </row>
    <row r="26" spans="1:7" s="815" customFormat="1" ht="13.8">
      <c r="A26" s="832"/>
      <c r="B26" s="826" t="s">
        <v>1645</v>
      </c>
      <c r="C26" s="833"/>
      <c r="D26" s="834"/>
      <c r="E26" s="1650">
        <v>0</v>
      </c>
      <c r="F26" s="1651"/>
      <c r="G26" s="835"/>
    </row>
    <row r="27" spans="1:7" s="815" customFormat="1" ht="13.8">
      <c r="A27" s="825"/>
      <c r="B27" s="837"/>
      <c r="C27" s="838"/>
      <c r="D27" s="825"/>
      <c r="E27" s="830"/>
      <c r="F27" s="831"/>
      <c r="G27" s="829"/>
    </row>
    <row r="28" spans="1:7" s="815" customFormat="1" ht="13.8">
      <c r="A28" s="832"/>
      <c r="B28" s="1656" t="s">
        <v>1646</v>
      </c>
      <c r="C28" s="1656"/>
      <c r="D28" s="834"/>
      <c r="E28" s="1650">
        <v>0</v>
      </c>
      <c r="F28" s="1651"/>
      <c r="G28" s="835"/>
    </row>
    <row r="29" spans="1:7" s="815" customFormat="1" ht="13.8">
      <c r="A29" s="825"/>
      <c r="B29" s="839"/>
      <c r="C29" s="840"/>
      <c r="D29" s="841"/>
      <c r="E29" s="842"/>
      <c r="F29" s="843"/>
      <c r="G29" s="844"/>
    </row>
    <row r="30" spans="1:7" s="815" customFormat="1" ht="13.8">
      <c r="A30" s="832"/>
      <c r="B30" s="826" t="s">
        <v>1647</v>
      </c>
      <c r="C30" s="833"/>
      <c r="D30" s="834"/>
      <c r="E30" s="1650">
        <v>0</v>
      </c>
      <c r="F30" s="1651"/>
      <c r="G30" s="835"/>
    </row>
    <row r="31" spans="1:7" s="815" customFormat="1" ht="13.8">
      <c r="A31" s="825"/>
      <c r="B31" s="839"/>
      <c r="C31" s="840"/>
      <c r="D31" s="841"/>
      <c r="E31" s="1657"/>
      <c r="F31" s="1657"/>
      <c r="G31" s="844"/>
    </row>
    <row r="32" spans="1:7" s="815" customFormat="1" ht="13.8">
      <c r="A32" s="832"/>
      <c r="B32" s="826" t="s">
        <v>1648</v>
      </c>
      <c r="C32" s="833"/>
      <c r="D32" s="834"/>
      <c r="E32" s="1650">
        <v>0</v>
      </c>
      <c r="F32" s="1651"/>
      <c r="G32" s="835"/>
    </row>
    <row r="33" spans="1:7" s="815" customFormat="1" ht="13.8">
      <c r="A33" s="832"/>
      <c r="B33" s="826"/>
      <c r="C33" s="833"/>
      <c r="D33" s="834"/>
      <c r="E33" s="830"/>
      <c r="F33" s="836"/>
      <c r="G33" s="835"/>
    </row>
    <row r="34" spans="1:7" s="815" customFormat="1" ht="13.8">
      <c r="A34" s="832"/>
      <c r="B34" s="826" t="s">
        <v>1649</v>
      </c>
      <c r="C34" s="833"/>
      <c r="D34" s="834"/>
      <c r="E34" s="1650">
        <v>0</v>
      </c>
      <c r="F34" s="1651"/>
      <c r="G34" s="835"/>
    </row>
    <row r="35" spans="1:7" s="815" customFormat="1" ht="13.8">
      <c r="A35" s="832"/>
      <c r="B35" s="826"/>
      <c r="C35" s="833"/>
      <c r="D35" s="834"/>
      <c r="E35" s="830"/>
      <c r="F35" s="836"/>
      <c r="G35" s="835"/>
    </row>
    <row r="36" spans="1:7" s="815" customFormat="1" ht="13.8">
      <c r="A36" s="832"/>
      <c r="B36" s="826" t="s">
        <v>1650</v>
      </c>
      <c r="C36" s="833"/>
      <c r="D36" s="834"/>
      <c r="E36" s="1650">
        <v>0</v>
      </c>
      <c r="F36" s="1651"/>
      <c r="G36" s="835"/>
    </row>
    <row r="37" spans="1:7" s="815" customFormat="1" ht="13.8">
      <c r="A37" s="832"/>
      <c r="B37" s="826"/>
      <c r="C37" s="833"/>
      <c r="D37" s="834"/>
      <c r="E37" s="830"/>
      <c r="F37" s="836"/>
      <c r="G37" s="835"/>
    </row>
    <row r="38" spans="1:7" s="815" customFormat="1" ht="13.8">
      <c r="A38" s="832"/>
      <c r="B38" s="826" t="s">
        <v>1651</v>
      </c>
      <c r="C38" s="833"/>
      <c r="D38" s="834"/>
      <c r="E38" s="1650">
        <v>0</v>
      </c>
      <c r="F38" s="1651"/>
      <c r="G38" s="835"/>
    </row>
    <row r="39" spans="1:7" s="815" customFormat="1" ht="13.8">
      <c r="A39" s="832"/>
      <c r="B39" s="826"/>
      <c r="C39" s="833"/>
      <c r="D39" s="834"/>
      <c r="E39" s="830"/>
      <c r="F39" s="836"/>
      <c r="G39" s="835"/>
    </row>
    <row r="40" spans="1:7" s="815" customFormat="1" ht="13.8">
      <c r="A40" s="825"/>
      <c r="B40" s="826" t="s">
        <v>1652</v>
      </c>
      <c r="C40" s="827"/>
      <c r="D40" s="828"/>
      <c r="E40" s="1650">
        <v>0</v>
      </c>
      <c r="F40" s="1652"/>
      <c r="G40" s="829"/>
    </row>
    <row r="41" spans="1:7" s="815" customFormat="1" ht="14.4" thickBot="1">
      <c r="A41" s="825"/>
      <c r="B41" s="839"/>
      <c r="C41" s="840"/>
      <c r="D41" s="841"/>
      <c r="E41" s="843"/>
      <c r="F41" s="843"/>
      <c r="G41" s="844"/>
    </row>
    <row r="42" spans="1:11" s="815" customFormat="1" ht="15.6">
      <c r="A42" s="825"/>
      <c r="B42" s="845" t="s">
        <v>1658</v>
      </c>
      <c r="C42" s="846"/>
      <c r="D42" s="847"/>
      <c r="E42" s="881">
        <f>SUM(E40,E38,E36,E34,E32,E30,E28,E26,E24,E22,E20,E18:G18)</f>
        <v>0</v>
      </c>
      <c r="F42" s="880"/>
      <c r="G42" s="848"/>
      <c r="I42" s="849"/>
      <c r="J42" s="1647"/>
      <c r="K42" s="1648"/>
    </row>
    <row r="43" spans="1:11" s="815" customFormat="1" ht="15.6">
      <c r="A43" s="825"/>
      <c r="B43" s="850" t="s">
        <v>1659</v>
      </c>
      <c r="C43" s="851"/>
      <c r="D43" s="852"/>
      <c r="E43" s="1643">
        <f>PRODUCT(E42)*0.21</f>
        <v>0</v>
      </c>
      <c r="F43" s="1644"/>
      <c r="G43" s="848"/>
      <c r="I43" s="853"/>
      <c r="J43" s="854"/>
      <c r="K43" s="855"/>
    </row>
    <row r="44" spans="1:11" s="815" customFormat="1" ht="16.2" thickBot="1">
      <c r="A44" s="825"/>
      <c r="B44" s="856" t="s">
        <v>1660</v>
      </c>
      <c r="C44" s="857"/>
      <c r="D44" s="858"/>
      <c r="E44" s="1645">
        <f>0.21*E42+E42</f>
        <v>0</v>
      </c>
      <c r="F44" s="1646"/>
      <c r="G44" s="859"/>
      <c r="J44" s="1647"/>
      <c r="K44" s="1648"/>
    </row>
    <row r="45" spans="1:10" s="815" customFormat="1" ht="15.6">
      <c r="A45" s="825"/>
      <c r="B45" s="841"/>
      <c r="C45" s="860"/>
      <c r="D45" s="825"/>
      <c r="E45" s="825"/>
      <c r="F45" s="861"/>
      <c r="G45" s="859"/>
      <c r="J45" s="862"/>
    </row>
    <row r="46" spans="1:9" s="811" customFormat="1" ht="12.75">
      <c r="A46" s="806"/>
      <c r="B46" s="882" t="s">
        <v>1662</v>
      </c>
      <c r="C46" s="806"/>
      <c r="D46" s="806"/>
      <c r="E46" s="806"/>
      <c r="F46" s="806"/>
      <c r="G46" s="806"/>
      <c r="I46" s="877"/>
    </row>
    <row r="47" spans="2:9" ht="12.75">
      <c r="B47" s="806" t="s">
        <v>1661</v>
      </c>
      <c r="I47" s="878"/>
    </row>
    <row r="48" spans="1:9" s="811" customFormat="1" ht="12.75">
      <c r="A48" s="806"/>
      <c r="B48" s="806"/>
      <c r="C48" s="806"/>
      <c r="D48" s="806"/>
      <c r="E48" s="806"/>
      <c r="F48" s="806"/>
      <c r="G48" s="806"/>
      <c r="I48" s="877"/>
    </row>
    <row r="49" spans="1:9" s="811" customFormat="1" ht="12.75">
      <c r="A49" s="806"/>
      <c r="B49" s="806"/>
      <c r="C49" s="806"/>
      <c r="D49" s="806"/>
      <c r="E49" s="806"/>
      <c r="F49" s="806"/>
      <c r="G49" s="806"/>
      <c r="I49" s="877"/>
    </row>
    <row r="50" spans="1:9" s="811" customFormat="1" ht="12.75">
      <c r="A50" s="806"/>
      <c r="B50" s="806"/>
      <c r="C50" s="806"/>
      <c r="D50" s="806"/>
      <c r="E50" s="806"/>
      <c r="F50" s="806"/>
      <c r="G50" s="806"/>
      <c r="I50" s="877"/>
    </row>
    <row r="52" spans="1:12" s="879" customFormat="1" ht="12.75">
      <c r="A52" s="806"/>
      <c r="B52" s="806"/>
      <c r="C52" s="806"/>
      <c r="D52" s="806"/>
      <c r="E52" s="806"/>
      <c r="F52" s="806"/>
      <c r="G52" s="806"/>
      <c r="L52" s="809"/>
    </row>
    <row r="65" spans="8:9" ht="12.75">
      <c r="H65" s="878"/>
      <c r="I65" s="878"/>
    </row>
    <row r="67" ht="12.75">
      <c r="H67" s="878"/>
    </row>
    <row r="68" ht="12.75">
      <c r="I68" s="878"/>
    </row>
  </sheetData>
  <mergeCells count="26">
    <mergeCell ref="C13:D13"/>
    <mergeCell ref="B1:C1"/>
    <mergeCell ref="A3:G3"/>
    <mergeCell ref="A4:G4"/>
    <mergeCell ref="C10:G10"/>
    <mergeCell ref="C11:G11"/>
    <mergeCell ref="E32:F32"/>
    <mergeCell ref="B15:C15"/>
    <mergeCell ref="B16:G16"/>
    <mergeCell ref="E18:F18"/>
    <mergeCell ref="E20:F20"/>
    <mergeCell ref="E22:F22"/>
    <mergeCell ref="E24:F24"/>
    <mergeCell ref="E26:F26"/>
    <mergeCell ref="B28:C28"/>
    <mergeCell ref="E28:F28"/>
    <mergeCell ref="E30:F30"/>
    <mergeCell ref="E31:F31"/>
    <mergeCell ref="E43:F43"/>
    <mergeCell ref="E44:F44"/>
    <mergeCell ref="J44:K44"/>
    <mergeCell ref="E34:F34"/>
    <mergeCell ref="E36:F36"/>
    <mergeCell ref="E38:F38"/>
    <mergeCell ref="E40:F40"/>
    <mergeCell ref="J42:K42"/>
  </mergeCells>
  <printOptions/>
  <pageMargins left="0.6692913385826772" right="0.4330708661417323" top="0.6692913385826772" bottom="0.6692913385826772" header="0.5118110236220472" footer="0.5118110236220472"/>
  <pageSetup fitToHeight="1" fitToWidth="1" horizontalDpi="600" verticalDpi="600" orientation="portrait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68"/>
  <sheetViews>
    <sheetView zoomScaleSheetLayoutView="75" workbookViewId="0" topLeftCell="A10">
      <selection activeCell="F43" sqref="F43"/>
    </sheetView>
  </sheetViews>
  <sheetFormatPr defaultColWidth="9.00390625" defaultRowHeight="12.75"/>
  <cols>
    <col min="1" max="1" width="5.00390625" style="806" customWidth="1"/>
    <col min="2" max="2" width="11.00390625" style="806" customWidth="1"/>
    <col min="3" max="3" width="39.125" style="806" customWidth="1"/>
    <col min="4" max="4" width="3.375" style="806" customWidth="1"/>
    <col min="5" max="5" width="14.375" style="806" customWidth="1"/>
    <col min="6" max="6" width="14.125" style="806" customWidth="1"/>
    <col min="7" max="7" width="8.50390625" style="806" customWidth="1"/>
    <col min="8" max="8" width="10.125" style="806" bestFit="1" customWidth="1"/>
    <col min="9" max="9" width="10.375" style="806" customWidth="1"/>
    <col min="10" max="10" width="10.125" style="806" bestFit="1" customWidth="1"/>
    <col min="11" max="256" width="8.875" style="806" customWidth="1"/>
    <col min="257" max="257" width="5.00390625" style="806" customWidth="1"/>
    <col min="258" max="258" width="11.00390625" style="806" customWidth="1"/>
    <col min="259" max="259" width="39.125" style="806" customWidth="1"/>
    <col min="260" max="260" width="3.375" style="806" customWidth="1"/>
    <col min="261" max="261" width="14.375" style="806" customWidth="1"/>
    <col min="262" max="262" width="14.125" style="806" customWidth="1"/>
    <col min="263" max="263" width="8.50390625" style="806" customWidth="1"/>
    <col min="264" max="264" width="10.125" style="806" bestFit="1" customWidth="1"/>
    <col min="265" max="265" width="10.375" style="806" customWidth="1"/>
    <col min="266" max="266" width="10.125" style="806" bestFit="1" customWidth="1"/>
    <col min="267" max="512" width="8.875" style="806" customWidth="1"/>
    <col min="513" max="513" width="5.00390625" style="806" customWidth="1"/>
    <col min="514" max="514" width="11.00390625" style="806" customWidth="1"/>
    <col min="515" max="515" width="39.125" style="806" customWidth="1"/>
    <col min="516" max="516" width="3.375" style="806" customWidth="1"/>
    <col min="517" max="517" width="14.375" style="806" customWidth="1"/>
    <col min="518" max="518" width="14.125" style="806" customWidth="1"/>
    <col min="519" max="519" width="8.50390625" style="806" customWidth="1"/>
    <col min="520" max="520" width="10.125" style="806" bestFit="1" customWidth="1"/>
    <col min="521" max="521" width="10.375" style="806" customWidth="1"/>
    <col min="522" max="522" width="10.125" style="806" bestFit="1" customWidth="1"/>
    <col min="523" max="768" width="8.875" style="806" customWidth="1"/>
    <col min="769" max="769" width="5.00390625" style="806" customWidth="1"/>
    <col min="770" max="770" width="11.00390625" style="806" customWidth="1"/>
    <col min="771" max="771" width="39.125" style="806" customWidth="1"/>
    <col min="772" max="772" width="3.375" style="806" customWidth="1"/>
    <col min="773" max="773" width="14.375" style="806" customWidth="1"/>
    <col min="774" max="774" width="14.125" style="806" customWidth="1"/>
    <col min="775" max="775" width="8.50390625" style="806" customWidth="1"/>
    <col min="776" max="776" width="10.125" style="806" bestFit="1" customWidth="1"/>
    <col min="777" max="777" width="10.375" style="806" customWidth="1"/>
    <col min="778" max="778" width="10.125" style="806" bestFit="1" customWidth="1"/>
    <col min="779" max="1024" width="8.875" style="806" customWidth="1"/>
    <col min="1025" max="1025" width="5.00390625" style="806" customWidth="1"/>
    <col min="1026" max="1026" width="11.00390625" style="806" customWidth="1"/>
    <col min="1027" max="1027" width="39.125" style="806" customWidth="1"/>
    <col min="1028" max="1028" width="3.375" style="806" customWidth="1"/>
    <col min="1029" max="1029" width="14.375" style="806" customWidth="1"/>
    <col min="1030" max="1030" width="14.125" style="806" customWidth="1"/>
    <col min="1031" max="1031" width="8.50390625" style="806" customWidth="1"/>
    <col min="1032" max="1032" width="10.125" style="806" bestFit="1" customWidth="1"/>
    <col min="1033" max="1033" width="10.375" style="806" customWidth="1"/>
    <col min="1034" max="1034" width="10.125" style="806" bestFit="1" customWidth="1"/>
    <col min="1035" max="1280" width="8.875" style="806" customWidth="1"/>
    <col min="1281" max="1281" width="5.00390625" style="806" customWidth="1"/>
    <col min="1282" max="1282" width="11.00390625" style="806" customWidth="1"/>
    <col min="1283" max="1283" width="39.125" style="806" customWidth="1"/>
    <col min="1284" max="1284" width="3.375" style="806" customWidth="1"/>
    <col min="1285" max="1285" width="14.375" style="806" customWidth="1"/>
    <col min="1286" max="1286" width="14.125" style="806" customWidth="1"/>
    <col min="1287" max="1287" width="8.50390625" style="806" customWidth="1"/>
    <col min="1288" max="1288" width="10.125" style="806" bestFit="1" customWidth="1"/>
    <col min="1289" max="1289" width="10.375" style="806" customWidth="1"/>
    <col min="1290" max="1290" width="10.125" style="806" bestFit="1" customWidth="1"/>
    <col min="1291" max="1536" width="8.875" style="806" customWidth="1"/>
    <col min="1537" max="1537" width="5.00390625" style="806" customWidth="1"/>
    <col min="1538" max="1538" width="11.00390625" style="806" customWidth="1"/>
    <col min="1539" max="1539" width="39.125" style="806" customWidth="1"/>
    <col min="1540" max="1540" width="3.375" style="806" customWidth="1"/>
    <col min="1541" max="1541" width="14.375" style="806" customWidth="1"/>
    <col min="1542" max="1542" width="14.125" style="806" customWidth="1"/>
    <col min="1543" max="1543" width="8.50390625" style="806" customWidth="1"/>
    <col min="1544" max="1544" width="10.125" style="806" bestFit="1" customWidth="1"/>
    <col min="1545" max="1545" width="10.375" style="806" customWidth="1"/>
    <col min="1546" max="1546" width="10.125" style="806" bestFit="1" customWidth="1"/>
    <col min="1547" max="1792" width="8.875" style="806" customWidth="1"/>
    <col min="1793" max="1793" width="5.00390625" style="806" customWidth="1"/>
    <col min="1794" max="1794" width="11.00390625" style="806" customWidth="1"/>
    <col min="1795" max="1795" width="39.125" style="806" customWidth="1"/>
    <col min="1796" max="1796" width="3.375" style="806" customWidth="1"/>
    <col min="1797" max="1797" width="14.375" style="806" customWidth="1"/>
    <col min="1798" max="1798" width="14.125" style="806" customWidth="1"/>
    <col min="1799" max="1799" width="8.50390625" style="806" customWidth="1"/>
    <col min="1800" max="1800" width="10.125" style="806" bestFit="1" customWidth="1"/>
    <col min="1801" max="1801" width="10.375" style="806" customWidth="1"/>
    <col min="1802" max="1802" width="10.125" style="806" bestFit="1" customWidth="1"/>
    <col min="1803" max="2048" width="8.875" style="806" customWidth="1"/>
    <col min="2049" max="2049" width="5.00390625" style="806" customWidth="1"/>
    <col min="2050" max="2050" width="11.00390625" style="806" customWidth="1"/>
    <col min="2051" max="2051" width="39.125" style="806" customWidth="1"/>
    <col min="2052" max="2052" width="3.375" style="806" customWidth="1"/>
    <col min="2053" max="2053" width="14.375" style="806" customWidth="1"/>
    <col min="2054" max="2054" width="14.125" style="806" customWidth="1"/>
    <col min="2055" max="2055" width="8.50390625" style="806" customWidth="1"/>
    <col min="2056" max="2056" width="10.125" style="806" bestFit="1" customWidth="1"/>
    <col min="2057" max="2057" width="10.375" style="806" customWidth="1"/>
    <col min="2058" max="2058" width="10.125" style="806" bestFit="1" customWidth="1"/>
    <col min="2059" max="2304" width="8.875" style="806" customWidth="1"/>
    <col min="2305" max="2305" width="5.00390625" style="806" customWidth="1"/>
    <col min="2306" max="2306" width="11.00390625" style="806" customWidth="1"/>
    <col min="2307" max="2307" width="39.125" style="806" customWidth="1"/>
    <col min="2308" max="2308" width="3.375" style="806" customWidth="1"/>
    <col min="2309" max="2309" width="14.375" style="806" customWidth="1"/>
    <col min="2310" max="2310" width="14.125" style="806" customWidth="1"/>
    <col min="2311" max="2311" width="8.50390625" style="806" customWidth="1"/>
    <col min="2312" max="2312" width="10.125" style="806" bestFit="1" customWidth="1"/>
    <col min="2313" max="2313" width="10.375" style="806" customWidth="1"/>
    <col min="2314" max="2314" width="10.125" style="806" bestFit="1" customWidth="1"/>
    <col min="2315" max="2560" width="8.875" style="806" customWidth="1"/>
    <col min="2561" max="2561" width="5.00390625" style="806" customWidth="1"/>
    <col min="2562" max="2562" width="11.00390625" style="806" customWidth="1"/>
    <col min="2563" max="2563" width="39.125" style="806" customWidth="1"/>
    <col min="2564" max="2564" width="3.375" style="806" customWidth="1"/>
    <col min="2565" max="2565" width="14.375" style="806" customWidth="1"/>
    <col min="2566" max="2566" width="14.125" style="806" customWidth="1"/>
    <col min="2567" max="2567" width="8.50390625" style="806" customWidth="1"/>
    <col min="2568" max="2568" width="10.125" style="806" bestFit="1" customWidth="1"/>
    <col min="2569" max="2569" width="10.375" style="806" customWidth="1"/>
    <col min="2570" max="2570" width="10.125" style="806" bestFit="1" customWidth="1"/>
    <col min="2571" max="2816" width="8.875" style="806" customWidth="1"/>
    <col min="2817" max="2817" width="5.00390625" style="806" customWidth="1"/>
    <col min="2818" max="2818" width="11.00390625" style="806" customWidth="1"/>
    <col min="2819" max="2819" width="39.125" style="806" customWidth="1"/>
    <col min="2820" max="2820" width="3.375" style="806" customWidth="1"/>
    <col min="2821" max="2821" width="14.375" style="806" customWidth="1"/>
    <col min="2822" max="2822" width="14.125" style="806" customWidth="1"/>
    <col min="2823" max="2823" width="8.50390625" style="806" customWidth="1"/>
    <col min="2824" max="2824" width="10.125" style="806" bestFit="1" customWidth="1"/>
    <col min="2825" max="2825" width="10.375" style="806" customWidth="1"/>
    <col min="2826" max="2826" width="10.125" style="806" bestFit="1" customWidth="1"/>
    <col min="2827" max="3072" width="8.875" style="806" customWidth="1"/>
    <col min="3073" max="3073" width="5.00390625" style="806" customWidth="1"/>
    <col min="3074" max="3074" width="11.00390625" style="806" customWidth="1"/>
    <col min="3075" max="3075" width="39.125" style="806" customWidth="1"/>
    <col min="3076" max="3076" width="3.375" style="806" customWidth="1"/>
    <col min="3077" max="3077" width="14.375" style="806" customWidth="1"/>
    <col min="3078" max="3078" width="14.125" style="806" customWidth="1"/>
    <col min="3079" max="3079" width="8.50390625" style="806" customWidth="1"/>
    <col min="3080" max="3080" width="10.125" style="806" bestFit="1" customWidth="1"/>
    <col min="3081" max="3081" width="10.375" style="806" customWidth="1"/>
    <col min="3082" max="3082" width="10.125" style="806" bestFit="1" customWidth="1"/>
    <col min="3083" max="3328" width="8.875" style="806" customWidth="1"/>
    <col min="3329" max="3329" width="5.00390625" style="806" customWidth="1"/>
    <col min="3330" max="3330" width="11.00390625" style="806" customWidth="1"/>
    <col min="3331" max="3331" width="39.125" style="806" customWidth="1"/>
    <col min="3332" max="3332" width="3.375" style="806" customWidth="1"/>
    <col min="3333" max="3333" width="14.375" style="806" customWidth="1"/>
    <col min="3334" max="3334" width="14.125" style="806" customWidth="1"/>
    <col min="3335" max="3335" width="8.50390625" style="806" customWidth="1"/>
    <col min="3336" max="3336" width="10.125" style="806" bestFit="1" customWidth="1"/>
    <col min="3337" max="3337" width="10.375" style="806" customWidth="1"/>
    <col min="3338" max="3338" width="10.125" style="806" bestFit="1" customWidth="1"/>
    <col min="3339" max="3584" width="8.875" style="806" customWidth="1"/>
    <col min="3585" max="3585" width="5.00390625" style="806" customWidth="1"/>
    <col min="3586" max="3586" width="11.00390625" style="806" customWidth="1"/>
    <col min="3587" max="3587" width="39.125" style="806" customWidth="1"/>
    <col min="3588" max="3588" width="3.375" style="806" customWidth="1"/>
    <col min="3589" max="3589" width="14.375" style="806" customWidth="1"/>
    <col min="3590" max="3590" width="14.125" style="806" customWidth="1"/>
    <col min="3591" max="3591" width="8.50390625" style="806" customWidth="1"/>
    <col min="3592" max="3592" width="10.125" style="806" bestFit="1" customWidth="1"/>
    <col min="3593" max="3593" width="10.375" style="806" customWidth="1"/>
    <col min="3594" max="3594" width="10.125" style="806" bestFit="1" customWidth="1"/>
    <col min="3595" max="3840" width="8.875" style="806" customWidth="1"/>
    <col min="3841" max="3841" width="5.00390625" style="806" customWidth="1"/>
    <col min="3842" max="3842" width="11.00390625" style="806" customWidth="1"/>
    <col min="3843" max="3843" width="39.125" style="806" customWidth="1"/>
    <col min="3844" max="3844" width="3.375" style="806" customWidth="1"/>
    <col min="3845" max="3845" width="14.375" style="806" customWidth="1"/>
    <col min="3846" max="3846" width="14.125" style="806" customWidth="1"/>
    <col min="3847" max="3847" width="8.50390625" style="806" customWidth="1"/>
    <col min="3848" max="3848" width="10.125" style="806" bestFit="1" customWidth="1"/>
    <col min="3849" max="3849" width="10.375" style="806" customWidth="1"/>
    <col min="3850" max="3850" width="10.125" style="806" bestFit="1" customWidth="1"/>
    <col min="3851" max="4096" width="8.875" style="806" customWidth="1"/>
    <col min="4097" max="4097" width="5.00390625" style="806" customWidth="1"/>
    <col min="4098" max="4098" width="11.00390625" style="806" customWidth="1"/>
    <col min="4099" max="4099" width="39.125" style="806" customWidth="1"/>
    <col min="4100" max="4100" width="3.375" style="806" customWidth="1"/>
    <col min="4101" max="4101" width="14.375" style="806" customWidth="1"/>
    <col min="4102" max="4102" width="14.125" style="806" customWidth="1"/>
    <col min="4103" max="4103" width="8.50390625" style="806" customWidth="1"/>
    <col min="4104" max="4104" width="10.125" style="806" bestFit="1" customWidth="1"/>
    <col min="4105" max="4105" width="10.375" style="806" customWidth="1"/>
    <col min="4106" max="4106" width="10.125" style="806" bestFit="1" customWidth="1"/>
    <col min="4107" max="4352" width="8.875" style="806" customWidth="1"/>
    <col min="4353" max="4353" width="5.00390625" style="806" customWidth="1"/>
    <col min="4354" max="4354" width="11.00390625" style="806" customWidth="1"/>
    <col min="4355" max="4355" width="39.125" style="806" customWidth="1"/>
    <col min="4356" max="4356" width="3.375" style="806" customWidth="1"/>
    <col min="4357" max="4357" width="14.375" style="806" customWidth="1"/>
    <col min="4358" max="4358" width="14.125" style="806" customWidth="1"/>
    <col min="4359" max="4359" width="8.50390625" style="806" customWidth="1"/>
    <col min="4360" max="4360" width="10.125" style="806" bestFit="1" customWidth="1"/>
    <col min="4361" max="4361" width="10.375" style="806" customWidth="1"/>
    <col min="4362" max="4362" width="10.125" style="806" bestFit="1" customWidth="1"/>
    <col min="4363" max="4608" width="8.875" style="806" customWidth="1"/>
    <col min="4609" max="4609" width="5.00390625" style="806" customWidth="1"/>
    <col min="4610" max="4610" width="11.00390625" style="806" customWidth="1"/>
    <col min="4611" max="4611" width="39.125" style="806" customWidth="1"/>
    <col min="4612" max="4612" width="3.375" style="806" customWidth="1"/>
    <col min="4613" max="4613" width="14.375" style="806" customWidth="1"/>
    <col min="4614" max="4614" width="14.125" style="806" customWidth="1"/>
    <col min="4615" max="4615" width="8.50390625" style="806" customWidth="1"/>
    <col min="4616" max="4616" width="10.125" style="806" bestFit="1" customWidth="1"/>
    <col min="4617" max="4617" width="10.375" style="806" customWidth="1"/>
    <col min="4618" max="4618" width="10.125" style="806" bestFit="1" customWidth="1"/>
    <col min="4619" max="4864" width="8.875" style="806" customWidth="1"/>
    <col min="4865" max="4865" width="5.00390625" style="806" customWidth="1"/>
    <col min="4866" max="4866" width="11.00390625" style="806" customWidth="1"/>
    <col min="4867" max="4867" width="39.125" style="806" customWidth="1"/>
    <col min="4868" max="4868" width="3.375" style="806" customWidth="1"/>
    <col min="4869" max="4869" width="14.375" style="806" customWidth="1"/>
    <col min="4870" max="4870" width="14.125" style="806" customWidth="1"/>
    <col min="4871" max="4871" width="8.50390625" style="806" customWidth="1"/>
    <col min="4872" max="4872" width="10.125" style="806" bestFit="1" customWidth="1"/>
    <col min="4873" max="4873" width="10.375" style="806" customWidth="1"/>
    <col min="4874" max="4874" width="10.125" style="806" bestFit="1" customWidth="1"/>
    <col min="4875" max="5120" width="8.875" style="806" customWidth="1"/>
    <col min="5121" max="5121" width="5.00390625" style="806" customWidth="1"/>
    <col min="5122" max="5122" width="11.00390625" style="806" customWidth="1"/>
    <col min="5123" max="5123" width="39.125" style="806" customWidth="1"/>
    <col min="5124" max="5124" width="3.375" style="806" customWidth="1"/>
    <col min="5125" max="5125" width="14.375" style="806" customWidth="1"/>
    <col min="5126" max="5126" width="14.125" style="806" customWidth="1"/>
    <col min="5127" max="5127" width="8.50390625" style="806" customWidth="1"/>
    <col min="5128" max="5128" width="10.125" style="806" bestFit="1" customWidth="1"/>
    <col min="5129" max="5129" width="10.375" style="806" customWidth="1"/>
    <col min="5130" max="5130" width="10.125" style="806" bestFit="1" customWidth="1"/>
    <col min="5131" max="5376" width="8.875" style="806" customWidth="1"/>
    <col min="5377" max="5377" width="5.00390625" style="806" customWidth="1"/>
    <col min="5378" max="5378" width="11.00390625" style="806" customWidth="1"/>
    <col min="5379" max="5379" width="39.125" style="806" customWidth="1"/>
    <col min="5380" max="5380" width="3.375" style="806" customWidth="1"/>
    <col min="5381" max="5381" width="14.375" style="806" customWidth="1"/>
    <col min="5382" max="5382" width="14.125" style="806" customWidth="1"/>
    <col min="5383" max="5383" width="8.50390625" style="806" customWidth="1"/>
    <col min="5384" max="5384" width="10.125" style="806" bestFit="1" customWidth="1"/>
    <col min="5385" max="5385" width="10.375" style="806" customWidth="1"/>
    <col min="5386" max="5386" width="10.125" style="806" bestFit="1" customWidth="1"/>
    <col min="5387" max="5632" width="8.875" style="806" customWidth="1"/>
    <col min="5633" max="5633" width="5.00390625" style="806" customWidth="1"/>
    <col min="5634" max="5634" width="11.00390625" style="806" customWidth="1"/>
    <col min="5635" max="5635" width="39.125" style="806" customWidth="1"/>
    <col min="5636" max="5636" width="3.375" style="806" customWidth="1"/>
    <col min="5637" max="5637" width="14.375" style="806" customWidth="1"/>
    <col min="5638" max="5638" width="14.125" style="806" customWidth="1"/>
    <col min="5639" max="5639" width="8.50390625" style="806" customWidth="1"/>
    <col min="5640" max="5640" width="10.125" style="806" bestFit="1" customWidth="1"/>
    <col min="5641" max="5641" width="10.375" style="806" customWidth="1"/>
    <col min="5642" max="5642" width="10.125" style="806" bestFit="1" customWidth="1"/>
    <col min="5643" max="5888" width="8.875" style="806" customWidth="1"/>
    <col min="5889" max="5889" width="5.00390625" style="806" customWidth="1"/>
    <col min="5890" max="5890" width="11.00390625" style="806" customWidth="1"/>
    <col min="5891" max="5891" width="39.125" style="806" customWidth="1"/>
    <col min="5892" max="5892" width="3.375" style="806" customWidth="1"/>
    <col min="5893" max="5893" width="14.375" style="806" customWidth="1"/>
    <col min="5894" max="5894" width="14.125" style="806" customWidth="1"/>
    <col min="5895" max="5895" width="8.50390625" style="806" customWidth="1"/>
    <col min="5896" max="5896" width="10.125" style="806" bestFit="1" customWidth="1"/>
    <col min="5897" max="5897" width="10.375" style="806" customWidth="1"/>
    <col min="5898" max="5898" width="10.125" style="806" bestFit="1" customWidth="1"/>
    <col min="5899" max="6144" width="8.875" style="806" customWidth="1"/>
    <col min="6145" max="6145" width="5.00390625" style="806" customWidth="1"/>
    <col min="6146" max="6146" width="11.00390625" style="806" customWidth="1"/>
    <col min="6147" max="6147" width="39.125" style="806" customWidth="1"/>
    <col min="6148" max="6148" width="3.375" style="806" customWidth="1"/>
    <col min="6149" max="6149" width="14.375" style="806" customWidth="1"/>
    <col min="6150" max="6150" width="14.125" style="806" customWidth="1"/>
    <col min="6151" max="6151" width="8.50390625" style="806" customWidth="1"/>
    <col min="6152" max="6152" width="10.125" style="806" bestFit="1" customWidth="1"/>
    <col min="6153" max="6153" width="10.375" style="806" customWidth="1"/>
    <col min="6154" max="6154" width="10.125" style="806" bestFit="1" customWidth="1"/>
    <col min="6155" max="6400" width="8.875" style="806" customWidth="1"/>
    <col min="6401" max="6401" width="5.00390625" style="806" customWidth="1"/>
    <col min="6402" max="6402" width="11.00390625" style="806" customWidth="1"/>
    <col min="6403" max="6403" width="39.125" style="806" customWidth="1"/>
    <col min="6404" max="6404" width="3.375" style="806" customWidth="1"/>
    <col min="6405" max="6405" width="14.375" style="806" customWidth="1"/>
    <col min="6406" max="6406" width="14.125" style="806" customWidth="1"/>
    <col min="6407" max="6407" width="8.50390625" style="806" customWidth="1"/>
    <col min="6408" max="6408" width="10.125" style="806" bestFit="1" customWidth="1"/>
    <col min="6409" max="6409" width="10.375" style="806" customWidth="1"/>
    <col min="6410" max="6410" width="10.125" style="806" bestFit="1" customWidth="1"/>
    <col min="6411" max="6656" width="8.875" style="806" customWidth="1"/>
    <col min="6657" max="6657" width="5.00390625" style="806" customWidth="1"/>
    <col min="6658" max="6658" width="11.00390625" style="806" customWidth="1"/>
    <col min="6659" max="6659" width="39.125" style="806" customWidth="1"/>
    <col min="6660" max="6660" width="3.375" style="806" customWidth="1"/>
    <col min="6661" max="6661" width="14.375" style="806" customWidth="1"/>
    <col min="6662" max="6662" width="14.125" style="806" customWidth="1"/>
    <col min="6663" max="6663" width="8.50390625" style="806" customWidth="1"/>
    <col min="6664" max="6664" width="10.125" style="806" bestFit="1" customWidth="1"/>
    <col min="6665" max="6665" width="10.375" style="806" customWidth="1"/>
    <col min="6666" max="6666" width="10.125" style="806" bestFit="1" customWidth="1"/>
    <col min="6667" max="6912" width="8.875" style="806" customWidth="1"/>
    <col min="6913" max="6913" width="5.00390625" style="806" customWidth="1"/>
    <col min="6914" max="6914" width="11.00390625" style="806" customWidth="1"/>
    <col min="6915" max="6915" width="39.125" style="806" customWidth="1"/>
    <col min="6916" max="6916" width="3.375" style="806" customWidth="1"/>
    <col min="6917" max="6917" width="14.375" style="806" customWidth="1"/>
    <col min="6918" max="6918" width="14.125" style="806" customWidth="1"/>
    <col min="6919" max="6919" width="8.50390625" style="806" customWidth="1"/>
    <col min="6920" max="6920" width="10.125" style="806" bestFit="1" customWidth="1"/>
    <col min="6921" max="6921" width="10.375" style="806" customWidth="1"/>
    <col min="6922" max="6922" width="10.125" style="806" bestFit="1" customWidth="1"/>
    <col min="6923" max="7168" width="8.875" style="806" customWidth="1"/>
    <col min="7169" max="7169" width="5.00390625" style="806" customWidth="1"/>
    <col min="7170" max="7170" width="11.00390625" style="806" customWidth="1"/>
    <col min="7171" max="7171" width="39.125" style="806" customWidth="1"/>
    <col min="7172" max="7172" width="3.375" style="806" customWidth="1"/>
    <col min="7173" max="7173" width="14.375" style="806" customWidth="1"/>
    <col min="7174" max="7174" width="14.125" style="806" customWidth="1"/>
    <col min="7175" max="7175" width="8.50390625" style="806" customWidth="1"/>
    <col min="7176" max="7176" width="10.125" style="806" bestFit="1" customWidth="1"/>
    <col min="7177" max="7177" width="10.375" style="806" customWidth="1"/>
    <col min="7178" max="7178" width="10.125" style="806" bestFit="1" customWidth="1"/>
    <col min="7179" max="7424" width="8.875" style="806" customWidth="1"/>
    <col min="7425" max="7425" width="5.00390625" style="806" customWidth="1"/>
    <col min="7426" max="7426" width="11.00390625" style="806" customWidth="1"/>
    <col min="7427" max="7427" width="39.125" style="806" customWidth="1"/>
    <col min="7428" max="7428" width="3.375" style="806" customWidth="1"/>
    <col min="7429" max="7429" width="14.375" style="806" customWidth="1"/>
    <col min="7430" max="7430" width="14.125" style="806" customWidth="1"/>
    <col min="7431" max="7431" width="8.50390625" style="806" customWidth="1"/>
    <col min="7432" max="7432" width="10.125" style="806" bestFit="1" customWidth="1"/>
    <col min="7433" max="7433" width="10.375" style="806" customWidth="1"/>
    <col min="7434" max="7434" width="10.125" style="806" bestFit="1" customWidth="1"/>
    <col min="7435" max="7680" width="8.875" style="806" customWidth="1"/>
    <col min="7681" max="7681" width="5.00390625" style="806" customWidth="1"/>
    <col min="7682" max="7682" width="11.00390625" style="806" customWidth="1"/>
    <col min="7683" max="7683" width="39.125" style="806" customWidth="1"/>
    <col min="7684" max="7684" width="3.375" style="806" customWidth="1"/>
    <col min="7685" max="7685" width="14.375" style="806" customWidth="1"/>
    <col min="7686" max="7686" width="14.125" style="806" customWidth="1"/>
    <col min="7687" max="7687" width="8.50390625" style="806" customWidth="1"/>
    <col min="7688" max="7688" width="10.125" style="806" bestFit="1" customWidth="1"/>
    <col min="7689" max="7689" width="10.375" style="806" customWidth="1"/>
    <col min="7690" max="7690" width="10.125" style="806" bestFit="1" customWidth="1"/>
    <col min="7691" max="7936" width="8.875" style="806" customWidth="1"/>
    <col min="7937" max="7937" width="5.00390625" style="806" customWidth="1"/>
    <col min="7938" max="7938" width="11.00390625" style="806" customWidth="1"/>
    <col min="7939" max="7939" width="39.125" style="806" customWidth="1"/>
    <col min="7940" max="7940" width="3.375" style="806" customWidth="1"/>
    <col min="7941" max="7941" width="14.375" style="806" customWidth="1"/>
    <col min="7942" max="7942" width="14.125" style="806" customWidth="1"/>
    <col min="7943" max="7943" width="8.50390625" style="806" customWidth="1"/>
    <col min="7944" max="7944" width="10.125" style="806" bestFit="1" customWidth="1"/>
    <col min="7945" max="7945" width="10.375" style="806" customWidth="1"/>
    <col min="7946" max="7946" width="10.125" style="806" bestFit="1" customWidth="1"/>
    <col min="7947" max="8192" width="8.875" style="806" customWidth="1"/>
    <col min="8193" max="8193" width="5.00390625" style="806" customWidth="1"/>
    <col min="8194" max="8194" width="11.00390625" style="806" customWidth="1"/>
    <col min="8195" max="8195" width="39.125" style="806" customWidth="1"/>
    <col min="8196" max="8196" width="3.375" style="806" customWidth="1"/>
    <col min="8197" max="8197" width="14.375" style="806" customWidth="1"/>
    <col min="8198" max="8198" width="14.125" style="806" customWidth="1"/>
    <col min="8199" max="8199" width="8.50390625" style="806" customWidth="1"/>
    <col min="8200" max="8200" width="10.125" style="806" bestFit="1" customWidth="1"/>
    <col min="8201" max="8201" width="10.375" style="806" customWidth="1"/>
    <col min="8202" max="8202" width="10.125" style="806" bestFit="1" customWidth="1"/>
    <col min="8203" max="8448" width="8.875" style="806" customWidth="1"/>
    <col min="8449" max="8449" width="5.00390625" style="806" customWidth="1"/>
    <col min="8450" max="8450" width="11.00390625" style="806" customWidth="1"/>
    <col min="8451" max="8451" width="39.125" style="806" customWidth="1"/>
    <col min="8452" max="8452" width="3.375" style="806" customWidth="1"/>
    <col min="8453" max="8453" width="14.375" style="806" customWidth="1"/>
    <col min="8454" max="8454" width="14.125" style="806" customWidth="1"/>
    <col min="8455" max="8455" width="8.50390625" style="806" customWidth="1"/>
    <col min="8456" max="8456" width="10.125" style="806" bestFit="1" customWidth="1"/>
    <col min="8457" max="8457" width="10.375" style="806" customWidth="1"/>
    <col min="8458" max="8458" width="10.125" style="806" bestFit="1" customWidth="1"/>
    <col min="8459" max="8704" width="8.875" style="806" customWidth="1"/>
    <col min="8705" max="8705" width="5.00390625" style="806" customWidth="1"/>
    <col min="8706" max="8706" width="11.00390625" style="806" customWidth="1"/>
    <col min="8707" max="8707" width="39.125" style="806" customWidth="1"/>
    <col min="8708" max="8708" width="3.375" style="806" customWidth="1"/>
    <col min="8709" max="8709" width="14.375" style="806" customWidth="1"/>
    <col min="8710" max="8710" width="14.125" style="806" customWidth="1"/>
    <col min="8711" max="8711" width="8.50390625" style="806" customWidth="1"/>
    <col min="8712" max="8712" width="10.125" style="806" bestFit="1" customWidth="1"/>
    <col min="8713" max="8713" width="10.375" style="806" customWidth="1"/>
    <col min="8714" max="8714" width="10.125" style="806" bestFit="1" customWidth="1"/>
    <col min="8715" max="8960" width="8.875" style="806" customWidth="1"/>
    <col min="8961" max="8961" width="5.00390625" style="806" customWidth="1"/>
    <col min="8962" max="8962" width="11.00390625" style="806" customWidth="1"/>
    <col min="8963" max="8963" width="39.125" style="806" customWidth="1"/>
    <col min="8964" max="8964" width="3.375" style="806" customWidth="1"/>
    <col min="8965" max="8965" width="14.375" style="806" customWidth="1"/>
    <col min="8966" max="8966" width="14.125" style="806" customWidth="1"/>
    <col min="8967" max="8967" width="8.50390625" style="806" customWidth="1"/>
    <col min="8968" max="8968" width="10.125" style="806" bestFit="1" customWidth="1"/>
    <col min="8969" max="8969" width="10.375" style="806" customWidth="1"/>
    <col min="8970" max="8970" width="10.125" style="806" bestFit="1" customWidth="1"/>
    <col min="8971" max="9216" width="8.875" style="806" customWidth="1"/>
    <col min="9217" max="9217" width="5.00390625" style="806" customWidth="1"/>
    <col min="9218" max="9218" width="11.00390625" style="806" customWidth="1"/>
    <col min="9219" max="9219" width="39.125" style="806" customWidth="1"/>
    <col min="9220" max="9220" width="3.375" style="806" customWidth="1"/>
    <col min="9221" max="9221" width="14.375" style="806" customWidth="1"/>
    <col min="9222" max="9222" width="14.125" style="806" customWidth="1"/>
    <col min="9223" max="9223" width="8.50390625" style="806" customWidth="1"/>
    <col min="9224" max="9224" width="10.125" style="806" bestFit="1" customWidth="1"/>
    <col min="9225" max="9225" width="10.375" style="806" customWidth="1"/>
    <col min="9226" max="9226" width="10.125" style="806" bestFit="1" customWidth="1"/>
    <col min="9227" max="9472" width="8.875" style="806" customWidth="1"/>
    <col min="9473" max="9473" width="5.00390625" style="806" customWidth="1"/>
    <col min="9474" max="9474" width="11.00390625" style="806" customWidth="1"/>
    <col min="9475" max="9475" width="39.125" style="806" customWidth="1"/>
    <col min="9476" max="9476" width="3.375" style="806" customWidth="1"/>
    <col min="9477" max="9477" width="14.375" style="806" customWidth="1"/>
    <col min="9478" max="9478" width="14.125" style="806" customWidth="1"/>
    <col min="9479" max="9479" width="8.50390625" style="806" customWidth="1"/>
    <col min="9480" max="9480" width="10.125" style="806" bestFit="1" customWidth="1"/>
    <col min="9481" max="9481" width="10.375" style="806" customWidth="1"/>
    <col min="9482" max="9482" width="10.125" style="806" bestFit="1" customWidth="1"/>
    <col min="9483" max="9728" width="8.875" style="806" customWidth="1"/>
    <col min="9729" max="9729" width="5.00390625" style="806" customWidth="1"/>
    <col min="9730" max="9730" width="11.00390625" style="806" customWidth="1"/>
    <col min="9731" max="9731" width="39.125" style="806" customWidth="1"/>
    <col min="9732" max="9732" width="3.375" style="806" customWidth="1"/>
    <col min="9733" max="9733" width="14.375" style="806" customWidth="1"/>
    <col min="9734" max="9734" width="14.125" style="806" customWidth="1"/>
    <col min="9735" max="9735" width="8.50390625" style="806" customWidth="1"/>
    <col min="9736" max="9736" width="10.125" style="806" bestFit="1" customWidth="1"/>
    <col min="9737" max="9737" width="10.375" style="806" customWidth="1"/>
    <col min="9738" max="9738" width="10.125" style="806" bestFit="1" customWidth="1"/>
    <col min="9739" max="9984" width="8.875" style="806" customWidth="1"/>
    <col min="9985" max="9985" width="5.00390625" style="806" customWidth="1"/>
    <col min="9986" max="9986" width="11.00390625" style="806" customWidth="1"/>
    <col min="9987" max="9987" width="39.125" style="806" customWidth="1"/>
    <col min="9988" max="9988" width="3.375" style="806" customWidth="1"/>
    <col min="9989" max="9989" width="14.375" style="806" customWidth="1"/>
    <col min="9990" max="9990" width="14.125" style="806" customWidth="1"/>
    <col min="9991" max="9991" width="8.50390625" style="806" customWidth="1"/>
    <col min="9992" max="9992" width="10.125" style="806" bestFit="1" customWidth="1"/>
    <col min="9993" max="9993" width="10.375" style="806" customWidth="1"/>
    <col min="9994" max="9994" width="10.125" style="806" bestFit="1" customWidth="1"/>
    <col min="9995" max="10240" width="8.875" style="806" customWidth="1"/>
    <col min="10241" max="10241" width="5.00390625" style="806" customWidth="1"/>
    <col min="10242" max="10242" width="11.00390625" style="806" customWidth="1"/>
    <col min="10243" max="10243" width="39.125" style="806" customWidth="1"/>
    <col min="10244" max="10244" width="3.375" style="806" customWidth="1"/>
    <col min="10245" max="10245" width="14.375" style="806" customWidth="1"/>
    <col min="10246" max="10246" width="14.125" style="806" customWidth="1"/>
    <col min="10247" max="10247" width="8.50390625" style="806" customWidth="1"/>
    <col min="10248" max="10248" width="10.125" style="806" bestFit="1" customWidth="1"/>
    <col min="10249" max="10249" width="10.375" style="806" customWidth="1"/>
    <col min="10250" max="10250" width="10.125" style="806" bestFit="1" customWidth="1"/>
    <col min="10251" max="10496" width="8.875" style="806" customWidth="1"/>
    <col min="10497" max="10497" width="5.00390625" style="806" customWidth="1"/>
    <col min="10498" max="10498" width="11.00390625" style="806" customWidth="1"/>
    <col min="10499" max="10499" width="39.125" style="806" customWidth="1"/>
    <col min="10500" max="10500" width="3.375" style="806" customWidth="1"/>
    <col min="10501" max="10501" width="14.375" style="806" customWidth="1"/>
    <col min="10502" max="10502" width="14.125" style="806" customWidth="1"/>
    <col min="10503" max="10503" width="8.50390625" style="806" customWidth="1"/>
    <col min="10504" max="10504" width="10.125" style="806" bestFit="1" customWidth="1"/>
    <col min="10505" max="10505" width="10.375" style="806" customWidth="1"/>
    <col min="10506" max="10506" width="10.125" style="806" bestFit="1" customWidth="1"/>
    <col min="10507" max="10752" width="8.875" style="806" customWidth="1"/>
    <col min="10753" max="10753" width="5.00390625" style="806" customWidth="1"/>
    <col min="10754" max="10754" width="11.00390625" style="806" customWidth="1"/>
    <col min="10755" max="10755" width="39.125" style="806" customWidth="1"/>
    <col min="10756" max="10756" width="3.375" style="806" customWidth="1"/>
    <col min="10757" max="10757" width="14.375" style="806" customWidth="1"/>
    <col min="10758" max="10758" width="14.125" style="806" customWidth="1"/>
    <col min="10759" max="10759" width="8.50390625" style="806" customWidth="1"/>
    <col min="10760" max="10760" width="10.125" style="806" bestFit="1" customWidth="1"/>
    <col min="10761" max="10761" width="10.375" style="806" customWidth="1"/>
    <col min="10762" max="10762" width="10.125" style="806" bestFit="1" customWidth="1"/>
    <col min="10763" max="11008" width="8.875" style="806" customWidth="1"/>
    <col min="11009" max="11009" width="5.00390625" style="806" customWidth="1"/>
    <col min="11010" max="11010" width="11.00390625" style="806" customWidth="1"/>
    <col min="11011" max="11011" width="39.125" style="806" customWidth="1"/>
    <col min="11012" max="11012" width="3.375" style="806" customWidth="1"/>
    <col min="11013" max="11013" width="14.375" style="806" customWidth="1"/>
    <col min="11014" max="11014" width="14.125" style="806" customWidth="1"/>
    <col min="11015" max="11015" width="8.50390625" style="806" customWidth="1"/>
    <col min="11016" max="11016" width="10.125" style="806" bestFit="1" customWidth="1"/>
    <col min="11017" max="11017" width="10.375" style="806" customWidth="1"/>
    <col min="11018" max="11018" width="10.125" style="806" bestFit="1" customWidth="1"/>
    <col min="11019" max="11264" width="8.875" style="806" customWidth="1"/>
    <col min="11265" max="11265" width="5.00390625" style="806" customWidth="1"/>
    <col min="11266" max="11266" width="11.00390625" style="806" customWidth="1"/>
    <col min="11267" max="11267" width="39.125" style="806" customWidth="1"/>
    <col min="11268" max="11268" width="3.375" style="806" customWidth="1"/>
    <col min="11269" max="11269" width="14.375" style="806" customWidth="1"/>
    <col min="11270" max="11270" width="14.125" style="806" customWidth="1"/>
    <col min="11271" max="11271" width="8.50390625" style="806" customWidth="1"/>
    <col min="11272" max="11272" width="10.125" style="806" bestFit="1" customWidth="1"/>
    <col min="11273" max="11273" width="10.375" style="806" customWidth="1"/>
    <col min="11274" max="11274" width="10.125" style="806" bestFit="1" customWidth="1"/>
    <col min="11275" max="11520" width="8.875" style="806" customWidth="1"/>
    <col min="11521" max="11521" width="5.00390625" style="806" customWidth="1"/>
    <col min="11522" max="11522" width="11.00390625" style="806" customWidth="1"/>
    <col min="11523" max="11523" width="39.125" style="806" customWidth="1"/>
    <col min="11524" max="11524" width="3.375" style="806" customWidth="1"/>
    <col min="11525" max="11525" width="14.375" style="806" customWidth="1"/>
    <col min="11526" max="11526" width="14.125" style="806" customWidth="1"/>
    <col min="11527" max="11527" width="8.50390625" style="806" customWidth="1"/>
    <col min="11528" max="11528" width="10.125" style="806" bestFit="1" customWidth="1"/>
    <col min="11529" max="11529" width="10.375" style="806" customWidth="1"/>
    <col min="11530" max="11530" width="10.125" style="806" bestFit="1" customWidth="1"/>
    <col min="11531" max="11776" width="8.875" style="806" customWidth="1"/>
    <col min="11777" max="11777" width="5.00390625" style="806" customWidth="1"/>
    <col min="11778" max="11778" width="11.00390625" style="806" customWidth="1"/>
    <col min="11779" max="11779" width="39.125" style="806" customWidth="1"/>
    <col min="11780" max="11780" width="3.375" style="806" customWidth="1"/>
    <col min="11781" max="11781" width="14.375" style="806" customWidth="1"/>
    <col min="11782" max="11782" width="14.125" style="806" customWidth="1"/>
    <col min="11783" max="11783" width="8.50390625" style="806" customWidth="1"/>
    <col min="11784" max="11784" width="10.125" style="806" bestFit="1" customWidth="1"/>
    <col min="11785" max="11785" width="10.375" style="806" customWidth="1"/>
    <col min="11786" max="11786" width="10.125" style="806" bestFit="1" customWidth="1"/>
    <col min="11787" max="12032" width="8.875" style="806" customWidth="1"/>
    <col min="12033" max="12033" width="5.00390625" style="806" customWidth="1"/>
    <col min="12034" max="12034" width="11.00390625" style="806" customWidth="1"/>
    <col min="12035" max="12035" width="39.125" style="806" customWidth="1"/>
    <col min="12036" max="12036" width="3.375" style="806" customWidth="1"/>
    <col min="12037" max="12037" width="14.375" style="806" customWidth="1"/>
    <col min="12038" max="12038" width="14.125" style="806" customWidth="1"/>
    <col min="12039" max="12039" width="8.50390625" style="806" customWidth="1"/>
    <col min="12040" max="12040" width="10.125" style="806" bestFit="1" customWidth="1"/>
    <col min="12041" max="12041" width="10.375" style="806" customWidth="1"/>
    <col min="12042" max="12042" width="10.125" style="806" bestFit="1" customWidth="1"/>
    <col min="12043" max="12288" width="8.875" style="806" customWidth="1"/>
    <col min="12289" max="12289" width="5.00390625" style="806" customWidth="1"/>
    <col min="12290" max="12290" width="11.00390625" style="806" customWidth="1"/>
    <col min="12291" max="12291" width="39.125" style="806" customWidth="1"/>
    <col min="12292" max="12292" width="3.375" style="806" customWidth="1"/>
    <col min="12293" max="12293" width="14.375" style="806" customWidth="1"/>
    <col min="12294" max="12294" width="14.125" style="806" customWidth="1"/>
    <col min="12295" max="12295" width="8.50390625" style="806" customWidth="1"/>
    <col min="12296" max="12296" width="10.125" style="806" bestFit="1" customWidth="1"/>
    <col min="12297" max="12297" width="10.375" style="806" customWidth="1"/>
    <col min="12298" max="12298" width="10.125" style="806" bestFit="1" customWidth="1"/>
    <col min="12299" max="12544" width="8.875" style="806" customWidth="1"/>
    <col min="12545" max="12545" width="5.00390625" style="806" customWidth="1"/>
    <col min="12546" max="12546" width="11.00390625" style="806" customWidth="1"/>
    <col min="12547" max="12547" width="39.125" style="806" customWidth="1"/>
    <col min="12548" max="12548" width="3.375" style="806" customWidth="1"/>
    <col min="12549" max="12549" width="14.375" style="806" customWidth="1"/>
    <col min="12550" max="12550" width="14.125" style="806" customWidth="1"/>
    <col min="12551" max="12551" width="8.50390625" style="806" customWidth="1"/>
    <col min="12552" max="12552" width="10.125" style="806" bestFit="1" customWidth="1"/>
    <col min="12553" max="12553" width="10.375" style="806" customWidth="1"/>
    <col min="12554" max="12554" width="10.125" style="806" bestFit="1" customWidth="1"/>
    <col min="12555" max="12800" width="8.875" style="806" customWidth="1"/>
    <col min="12801" max="12801" width="5.00390625" style="806" customWidth="1"/>
    <col min="12802" max="12802" width="11.00390625" style="806" customWidth="1"/>
    <col min="12803" max="12803" width="39.125" style="806" customWidth="1"/>
    <col min="12804" max="12804" width="3.375" style="806" customWidth="1"/>
    <col min="12805" max="12805" width="14.375" style="806" customWidth="1"/>
    <col min="12806" max="12806" width="14.125" style="806" customWidth="1"/>
    <col min="12807" max="12807" width="8.50390625" style="806" customWidth="1"/>
    <col min="12808" max="12808" width="10.125" style="806" bestFit="1" customWidth="1"/>
    <col min="12809" max="12809" width="10.375" style="806" customWidth="1"/>
    <col min="12810" max="12810" width="10.125" style="806" bestFit="1" customWidth="1"/>
    <col min="12811" max="13056" width="8.875" style="806" customWidth="1"/>
    <col min="13057" max="13057" width="5.00390625" style="806" customWidth="1"/>
    <col min="13058" max="13058" width="11.00390625" style="806" customWidth="1"/>
    <col min="13059" max="13059" width="39.125" style="806" customWidth="1"/>
    <col min="13060" max="13060" width="3.375" style="806" customWidth="1"/>
    <col min="13061" max="13061" width="14.375" style="806" customWidth="1"/>
    <col min="13062" max="13062" width="14.125" style="806" customWidth="1"/>
    <col min="13063" max="13063" width="8.50390625" style="806" customWidth="1"/>
    <col min="13064" max="13064" width="10.125" style="806" bestFit="1" customWidth="1"/>
    <col min="13065" max="13065" width="10.375" style="806" customWidth="1"/>
    <col min="13066" max="13066" width="10.125" style="806" bestFit="1" customWidth="1"/>
    <col min="13067" max="13312" width="8.875" style="806" customWidth="1"/>
    <col min="13313" max="13313" width="5.00390625" style="806" customWidth="1"/>
    <col min="13314" max="13314" width="11.00390625" style="806" customWidth="1"/>
    <col min="13315" max="13315" width="39.125" style="806" customWidth="1"/>
    <col min="13316" max="13316" width="3.375" style="806" customWidth="1"/>
    <col min="13317" max="13317" width="14.375" style="806" customWidth="1"/>
    <col min="13318" max="13318" width="14.125" style="806" customWidth="1"/>
    <col min="13319" max="13319" width="8.50390625" style="806" customWidth="1"/>
    <col min="13320" max="13320" width="10.125" style="806" bestFit="1" customWidth="1"/>
    <col min="13321" max="13321" width="10.375" style="806" customWidth="1"/>
    <col min="13322" max="13322" width="10.125" style="806" bestFit="1" customWidth="1"/>
    <col min="13323" max="13568" width="8.875" style="806" customWidth="1"/>
    <col min="13569" max="13569" width="5.00390625" style="806" customWidth="1"/>
    <col min="13570" max="13570" width="11.00390625" style="806" customWidth="1"/>
    <col min="13571" max="13571" width="39.125" style="806" customWidth="1"/>
    <col min="13572" max="13572" width="3.375" style="806" customWidth="1"/>
    <col min="13573" max="13573" width="14.375" style="806" customWidth="1"/>
    <col min="13574" max="13574" width="14.125" style="806" customWidth="1"/>
    <col min="13575" max="13575" width="8.50390625" style="806" customWidth="1"/>
    <col min="13576" max="13576" width="10.125" style="806" bestFit="1" customWidth="1"/>
    <col min="13577" max="13577" width="10.375" style="806" customWidth="1"/>
    <col min="13578" max="13578" width="10.125" style="806" bestFit="1" customWidth="1"/>
    <col min="13579" max="13824" width="8.875" style="806" customWidth="1"/>
    <col min="13825" max="13825" width="5.00390625" style="806" customWidth="1"/>
    <col min="13826" max="13826" width="11.00390625" style="806" customWidth="1"/>
    <col min="13827" max="13827" width="39.125" style="806" customWidth="1"/>
    <col min="13828" max="13828" width="3.375" style="806" customWidth="1"/>
    <col min="13829" max="13829" width="14.375" style="806" customWidth="1"/>
    <col min="13830" max="13830" width="14.125" style="806" customWidth="1"/>
    <col min="13831" max="13831" width="8.50390625" style="806" customWidth="1"/>
    <col min="13832" max="13832" width="10.125" style="806" bestFit="1" customWidth="1"/>
    <col min="13833" max="13833" width="10.375" style="806" customWidth="1"/>
    <col min="13834" max="13834" width="10.125" style="806" bestFit="1" customWidth="1"/>
    <col min="13835" max="14080" width="8.875" style="806" customWidth="1"/>
    <col min="14081" max="14081" width="5.00390625" style="806" customWidth="1"/>
    <col min="14082" max="14082" width="11.00390625" style="806" customWidth="1"/>
    <col min="14083" max="14083" width="39.125" style="806" customWidth="1"/>
    <col min="14084" max="14084" width="3.375" style="806" customWidth="1"/>
    <col min="14085" max="14085" width="14.375" style="806" customWidth="1"/>
    <col min="14086" max="14086" width="14.125" style="806" customWidth="1"/>
    <col min="14087" max="14087" width="8.50390625" style="806" customWidth="1"/>
    <col min="14088" max="14088" width="10.125" style="806" bestFit="1" customWidth="1"/>
    <col min="14089" max="14089" width="10.375" style="806" customWidth="1"/>
    <col min="14090" max="14090" width="10.125" style="806" bestFit="1" customWidth="1"/>
    <col min="14091" max="14336" width="8.875" style="806" customWidth="1"/>
    <col min="14337" max="14337" width="5.00390625" style="806" customWidth="1"/>
    <col min="14338" max="14338" width="11.00390625" style="806" customWidth="1"/>
    <col min="14339" max="14339" width="39.125" style="806" customWidth="1"/>
    <col min="14340" max="14340" width="3.375" style="806" customWidth="1"/>
    <col min="14341" max="14341" width="14.375" style="806" customWidth="1"/>
    <col min="14342" max="14342" width="14.125" style="806" customWidth="1"/>
    <col min="14343" max="14343" width="8.50390625" style="806" customWidth="1"/>
    <col min="14344" max="14344" width="10.125" style="806" bestFit="1" customWidth="1"/>
    <col min="14345" max="14345" width="10.375" style="806" customWidth="1"/>
    <col min="14346" max="14346" width="10.125" style="806" bestFit="1" customWidth="1"/>
    <col min="14347" max="14592" width="8.875" style="806" customWidth="1"/>
    <col min="14593" max="14593" width="5.00390625" style="806" customWidth="1"/>
    <col min="14594" max="14594" width="11.00390625" style="806" customWidth="1"/>
    <col min="14595" max="14595" width="39.125" style="806" customWidth="1"/>
    <col min="14596" max="14596" width="3.375" style="806" customWidth="1"/>
    <col min="14597" max="14597" width="14.375" style="806" customWidth="1"/>
    <col min="14598" max="14598" width="14.125" style="806" customWidth="1"/>
    <col min="14599" max="14599" width="8.50390625" style="806" customWidth="1"/>
    <col min="14600" max="14600" width="10.125" style="806" bestFit="1" customWidth="1"/>
    <col min="14601" max="14601" width="10.375" style="806" customWidth="1"/>
    <col min="14602" max="14602" width="10.125" style="806" bestFit="1" customWidth="1"/>
    <col min="14603" max="14848" width="8.875" style="806" customWidth="1"/>
    <col min="14849" max="14849" width="5.00390625" style="806" customWidth="1"/>
    <col min="14850" max="14850" width="11.00390625" style="806" customWidth="1"/>
    <col min="14851" max="14851" width="39.125" style="806" customWidth="1"/>
    <col min="14852" max="14852" width="3.375" style="806" customWidth="1"/>
    <col min="14853" max="14853" width="14.375" style="806" customWidth="1"/>
    <col min="14854" max="14854" width="14.125" style="806" customWidth="1"/>
    <col min="14855" max="14855" width="8.50390625" style="806" customWidth="1"/>
    <col min="14856" max="14856" width="10.125" style="806" bestFit="1" customWidth="1"/>
    <col min="14857" max="14857" width="10.375" style="806" customWidth="1"/>
    <col min="14858" max="14858" width="10.125" style="806" bestFit="1" customWidth="1"/>
    <col min="14859" max="15104" width="8.875" style="806" customWidth="1"/>
    <col min="15105" max="15105" width="5.00390625" style="806" customWidth="1"/>
    <col min="15106" max="15106" width="11.00390625" style="806" customWidth="1"/>
    <col min="15107" max="15107" width="39.125" style="806" customWidth="1"/>
    <col min="15108" max="15108" width="3.375" style="806" customWidth="1"/>
    <col min="15109" max="15109" width="14.375" style="806" customWidth="1"/>
    <col min="15110" max="15110" width="14.125" style="806" customWidth="1"/>
    <col min="15111" max="15111" width="8.50390625" style="806" customWidth="1"/>
    <col min="15112" max="15112" width="10.125" style="806" bestFit="1" customWidth="1"/>
    <col min="15113" max="15113" width="10.375" style="806" customWidth="1"/>
    <col min="15114" max="15114" width="10.125" style="806" bestFit="1" customWidth="1"/>
    <col min="15115" max="15360" width="8.875" style="806" customWidth="1"/>
    <col min="15361" max="15361" width="5.00390625" style="806" customWidth="1"/>
    <col min="15362" max="15362" width="11.00390625" style="806" customWidth="1"/>
    <col min="15363" max="15363" width="39.125" style="806" customWidth="1"/>
    <col min="15364" max="15364" width="3.375" style="806" customWidth="1"/>
    <col min="15365" max="15365" width="14.375" style="806" customWidth="1"/>
    <col min="15366" max="15366" width="14.125" style="806" customWidth="1"/>
    <col min="15367" max="15367" width="8.50390625" style="806" customWidth="1"/>
    <col min="15368" max="15368" width="10.125" style="806" bestFit="1" customWidth="1"/>
    <col min="15369" max="15369" width="10.375" style="806" customWidth="1"/>
    <col min="15370" max="15370" width="10.125" style="806" bestFit="1" customWidth="1"/>
    <col min="15371" max="15616" width="8.875" style="806" customWidth="1"/>
    <col min="15617" max="15617" width="5.00390625" style="806" customWidth="1"/>
    <col min="15618" max="15618" width="11.00390625" style="806" customWidth="1"/>
    <col min="15619" max="15619" width="39.125" style="806" customWidth="1"/>
    <col min="15620" max="15620" width="3.375" style="806" customWidth="1"/>
    <col min="15621" max="15621" width="14.375" style="806" customWidth="1"/>
    <col min="15622" max="15622" width="14.125" style="806" customWidth="1"/>
    <col min="15623" max="15623" width="8.50390625" style="806" customWidth="1"/>
    <col min="15624" max="15624" width="10.125" style="806" bestFit="1" customWidth="1"/>
    <col min="15625" max="15625" width="10.375" style="806" customWidth="1"/>
    <col min="15626" max="15626" width="10.125" style="806" bestFit="1" customWidth="1"/>
    <col min="15627" max="15872" width="8.875" style="806" customWidth="1"/>
    <col min="15873" max="15873" width="5.00390625" style="806" customWidth="1"/>
    <col min="15874" max="15874" width="11.00390625" style="806" customWidth="1"/>
    <col min="15875" max="15875" width="39.125" style="806" customWidth="1"/>
    <col min="15876" max="15876" width="3.375" style="806" customWidth="1"/>
    <col min="15877" max="15877" width="14.375" style="806" customWidth="1"/>
    <col min="15878" max="15878" width="14.125" style="806" customWidth="1"/>
    <col min="15879" max="15879" width="8.50390625" style="806" customWidth="1"/>
    <col min="15880" max="15880" width="10.125" style="806" bestFit="1" customWidth="1"/>
    <col min="15881" max="15881" width="10.375" style="806" customWidth="1"/>
    <col min="15882" max="15882" width="10.125" style="806" bestFit="1" customWidth="1"/>
    <col min="15883" max="16128" width="8.875" style="806" customWidth="1"/>
    <col min="16129" max="16129" width="5.00390625" style="806" customWidth="1"/>
    <col min="16130" max="16130" width="11.00390625" style="806" customWidth="1"/>
    <col min="16131" max="16131" width="39.125" style="806" customWidth="1"/>
    <col min="16132" max="16132" width="3.375" style="806" customWidth="1"/>
    <col min="16133" max="16133" width="14.375" style="806" customWidth="1"/>
    <col min="16134" max="16134" width="14.125" style="806" customWidth="1"/>
    <col min="16135" max="16135" width="8.50390625" style="806" customWidth="1"/>
    <col min="16136" max="16136" width="10.125" style="806" bestFit="1" customWidth="1"/>
    <col min="16137" max="16137" width="10.375" style="806" customWidth="1"/>
    <col min="16138" max="16138" width="10.125" style="806" bestFit="1" customWidth="1"/>
    <col min="16139" max="16384" width="8.875" style="806" customWidth="1"/>
  </cols>
  <sheetData>
    <row r="1" spans="1:8" s="804" customFormat="1" ht="16.8">
      <c r="A1" s="801"/>
      <c r="B1" s="1660" t="s">
        <v>1632</v>
      </c>
      <c r="C1" s="1660"/>
      <c r="D1" s="802"/>
      <c r="E1" s="802"/>
      <c r="F1" s="802"/>
      <c r="G1" s="802"/>
      <c r="H1" s="803"/>
    </row>
    <row r="2" spans="1:7" ht="12.75">
      <c r="A2" s="894"/>
      <c r="B2" s="894"/>
      <c r="C2" s="894"/>
      <c r="D2" s="894"/>
      <c r="E2" s="894"/>
      <c r="F2" s="894"/>
      <c r="G2" s="894"/>
    </row>
    <row r="3" spans="1:8" s="808" customFormat="1" ht="21">
      <c r="A3" s="1674" t="s">
        <v>1633</v>
      </c>
      <c r="B3" s="1674"/>
      <c r="C3" s="1674"/>
      <c r="D3" s="1674"/>
      <c r="E3" s="1674"/>
      <c r="F3" s="1674"/>
      <c r="G3" s="1674"/>
      <c r="H3" s="807"/>
    </row>
    <row r="4" spans="1:8" s="809" customFormat="1" ht="21">
      <c r="A4" s="1674" t="s">
        <v>1634</v>
      </c>
      <c r="B4" s="1674"/>
      <c r="C4" s="1674"/>
      <c r="D4" s="1674"/>
      <c r="E4" s="1674"/>
      <c r="F4" s="1674"/>
      <c r="G4" s="1674"/>
      <c r="H4" s="807"/>
    </row>
    <row r="5" spans="1:8" s="809" customFormat="1" ht="21">
      <c r="A5" s="895"/>
      <c r="B5" s="895"/>
      <c r="C5" s="895"/>
      <c r="D5" s="895"/>
      <c r="E5" s="895"/>
      <c r="F5" s="895"/>
      <c r="G5" s="895"/>
      <c r="H5" s="807"/>
    </row>
    <row r="6" spans="1:7" ht="12.75">
      <c r="A6" s="811"/>
      <c r="B6" s="811"/>
      <c r="C6" s="811"/>
      <c r="D6" s="811"/>
      <c r="E6" s="811"/>
      <c r="F6" s="811"/>
      <c r="G6" s="811"/>
    </row>
    <row r="7" spans="1:12" s="815" customFormat="1" ht="12.75" customHeight="1">
      <c r="A7" s="896"/>
      <c r="B7" s="813" t="s">
        <v>1635</v>
      </c>
      <c r="C7" s="813" t="s">
        <v>1700</v>
      </c>
      <c r="D7" s="814"/>
      <c r="E7" s="814"/>
      <c r="F7" s="814"/>
      <c r="G7" s="814"/>
      <c r="H7" s="897"/>
      <c r="I7" s="898"/>
      <c r="J7" s="899"/>
      <c r="K7" s="897"/>
      <c r="L7" s="900"/>
    </row>
    <row r="8" spans="1:12" s="815" customFormat="1" ht="12.75" customHeight="1">
      <c r="A8" s="896"/>
      <c r="B8" s="814"/>
      <c r="C8" s="813" t="s">
        <v>1701</v>
      </c>
      <c r="D8" s="814"/>
      <c r="E8" s="814"/>
      <c r="F8" s="814"/>
      <c r="G8" s="814"/>
      <c r="H8" s="897"/>
      <c r="I8" s="898"/>
      <c r="J8" s="899"/>
      <c r="K8" s="897"/>
      <c r="L8" s="900"/>
    </row>
    <row r="9" spans="1:7" s="815" customFormat="1" ht="12.75">
      <c r="A9" s="896"/>
      <c r="B9" s="814"/>
      <c r="C9" s="813"/>
      <c r="D9" s="814"/>
      <c r="E9" s="814"/>
      <c r="F9" s="814"/>
      <c r="G9" s="814"/>
    </row>
    <row r="10" spans="1:7" s="815" customFormat="1" ht="12.75">
      <c r="A10" s="896"/>
      <c r="B10" s="816" t="s">
        <v>1636</v>
      </c>
      <c r="C10" s="1662" t="s">
        <v>1693</v>
      </c>
      <c r="D10" s="1662"/>
      <c r="E10" s="1662"/>
      <c r="F10" s="1662"/>
      <c r="G10" s="1662"/>
    </row>
    <row r="11" spans="1:7" s="815" customFormat="1" ht="12.75">
      <c r="A11" s="896"/>
      <c r="B11" s="816"/>
      <c r="C11" s="1662"/>
      <c r="D11" s="1662"/>
      <c r="E11" s="1662"/>
      <c r="F11" s="1662"/>
      <c r="G11" s="1662"/>
    </row>
    <row r="12" spans="1:7" s="815" customFormat="1" ht="12.75">
      <c r="A12" s="896"/>
      <c r="B12" s="816"/>
      <c r="C12" s="817"/>
      <c r="D12" s="817"/>
      <c r="E12" s="817"/>
      <c r="F12" s="817"/>
      <c r="G12" s="818"/>
    </row>
    <row r="13" spans="1:7" s="815" customFormat="1" ht="12.75">
      <c r="A13" s="896"/>
      <c r="B13" s="816" t="s">
        <v>1638</v>
      </c>
      <c r="C13" s="1658" t="s">
        <v>1657</v>
      </c>
      <c r="D13" s="1659"/>
      <c r="E13" s="819"/>
      <c r="F13" s="818"/>
      <c r="G13" s="818"/>
    </row>
    <row r="14" spans="1:7" s="815" customFormat="1" ht="12.75">
      <c r="A14" s="896"/>
      <c r="B14" s="816"/>
      <c r="C14" s="820"/>
      <c r="D14" s="817"/>
      <c r="E14" s="819"/>
      <c r="F14" s="818"/>
      <c r="G14" s="818"/>
    </row>
    <row r="15" spans="1:7" ht="12.75">
      <c r="A15" s="802"/>
      <c r="B15" s="1653"/>
      <c r="C15" s="1654"/>
      <c r="D15" s="802"/>
      <c r="E15" s="802"/>
      <c r="F15" s="821"/>
      <c r="G15" s="821"/>
    </row>
    <row r="16" spans="1:7" s="815" customFormat="1" ht="24.6">
      <c r="A16" s="802"/>
      <c r="B16" s="1673" t="s">
        <v>1640</v>
      </c>
      <c r="C16" s="1673"/>
      <c r="D16" s="1673"/>
      <c r="E16" s="1673"/>
      <c r="F16" s="1673"/>
      <c r="G16" s="1673"/>
    </row>
    <row r="17" spans="1:7" s="815" customFormat="1" ht="12.75" customHeight="1">
      <c r="A17" s="802"/>
      <c r="B17" s="822"/>
      <c r="C17" s="823"/>
      <c r="D17" s="824"/>
      <c r="E17" s="824"/>
      <c r="F17" s="824"/>
      <c r="G17" s="824"/>
    </row>
    <row r="18" spans="1:7" s="815" customFormat="1" ht="13.8">
      <c r="A18" s="825"/>
      <c r="B18" s="826" t="s">
        <v>1641</v>
      </c>
      <c r="C18" s="827"/>
      <c r="D18" s="828"/>
      <c r="E18" s="883">
        <v>0</v>
      </c>
      <c r="F18" s="901"/>
      <c r="G18" s="829"/>
    </row>
    <row r="19" spans="1:7" s="815" customFormat="1" ht="13.8">
      <c r="A19" s="825"/>
      <c r="B19" s="826"/>
      <c r="C19" s="827"/>
      <c r="D19" s="828"/>
      <c r="E19" s="883"/>
      <c r="F19" s="884"/>
      <c r="G19" s="829"/>
    </row>
    <row r="20" spans="1:7" s="815" customFormat="1" ht="13.8">
      <c r="A20" s="832"/>
      <c r="B20" s="826" t="s">
        <v>1642</v>
      </c>
      <c r="C20" s="833"/>
      <c r="D20" s="834"/>
      <c r="E20" s="883">
        <v>0</v>
      </c>
      <c r="F20" s="901"/>
      <c r="G20" s="835"/>
    </row>
    <row r="21" spans="1:7" s="815" customFormat="1" ht="13.8">
      <c r="A21" s="832"/>
      <c r="B21" s="826"/>
      <c r="C21" s="833"/>
      <c r="D21" s="834"/>
      <c r="E21" s="883"/>
      <c r="F21" s="885"/>
      <c r="G21" s="835"/>
    </row>
    <row r="22" spans="1:7" s="815" customFormat="1" ht="13.8">
      <c r="A22" s="832"/>
      <c r="B22" s="826" t="s">
        <v>1643</v>
      </c>
      <c r="C22" s="833"/>
      <c r="D22" s="834"/>
      <c r="E22" s="883">
        <v>0</v>
      </c>
      <c r="F22" s="901"/>
      <c r="G22" s="835"/>
    </row>
    <row r="23" spans="1:7" s="815" customFormat="1" ht="13.8">
      <c r="A23" s="825"/>
      <c r="B23" s="826"/>
      <c r="C23" s="827"/>
      <c r="D23" s="828"/>
      <c r="E23" s="883"/>
      <c r="F23" s="884"/>
      <c r="G23" s="829"/>
    </row>
    <row r="24" spans="1:7" s="815" customFormat="1" ht="13.8">
      <c r="A24" s="832"/>
      <c r="B24" s="826" t="s">
        <v>1644</v>
      </c>
      <c r="C24" s="833"/>
      <c r="D24" s="834"/>
      <c r="E24" s="883">
        <v>0</v>
      </c>
      <c r="F24" s="901"/>
      <c r="G24" s="835"/>
    </row>
    <row r="25" spans="1:7" s="815" customFormat="1" ht="13.8">
      <c r="A25" s="825"/>
      <c r="B25" s="826"/>
      <c r="C25" s="827"/>
      <c r="D25" s="828"/>
      <c r="E25" s="883"/>
      <c r="F25" s="884"/>
      <c r="G25" s="829"/>
    </row>
    <row r="26" spans="1:7" s="815" customFormat="1" ht="13.8">
      <c r="A26" s="832"/>
      <c r="B26" s="826" t="s">
        <v>1645</v>
      </c>
      <c r="C26" s="833"/>
      <c r="D26" s="834"/>
      <c r="E26" s="883">
        <v>0</v>
      </c>
      <c r="F26" s="901"/>
      <c r="G26" s="835"/>
    </row>
    <row r="27" spans="1:7" s="815" customFormat="1" ht="13.8">
      <c r="A27" s="825"/>
      <c r="B27" s="837"/>
      <c r="C27" s="838"/>
      <c r="D27" s="825"/>
      <c r="E27" s="883"/>
      <c r="F27" s="884"/>
      <c r="G27" s="829"/>
    </row>
    <row r="28" spans="1:7" s="815" customFormat="1" ht="13.8">
      <c r="A28" s="832"/>
      <c r="B28" s="1656" t="s">
        <v>1646</v>
      </c>
      <c r="C28" s="1656"/>
      <c r="D28" s="834"/>
      <c r="E28" s="883">
        <v>0</v>
      </c>
      <c r="F28" s="901"/>
      <c r="G28" s="835"/>
    </row>
    <row r="29" spans="1:7" s="815" customFormat="1" ht="13.8">
      <c r="A29" s="825"/>
      <c r="B29" s="839"/>
      <c r="C29" s="840"/>
      <c r="D29" s="841"/>
      <c r="E29" s="902"/>
      <c r="F29" s="903"/>
      <c r="G29" s="844"/>
    </row>
    <row r="30" spans="1:7" s="815" customFormat="1" ht="13.8">
      <c r="A30" s="832"/>
      <c r="B30" s="826" t="s">
        <v>1647</v>
      </c>
      <c r="C30" s="833"/>
      <c r="D30" s="834"/>
      <c r="E30" s="883">
        <v>0</v>
      </c>
      <c r="F30" s="901"/>
      <c r="G30" s="835"/>
    </row>
    <row r="31" spans="1:7" s="815" customFormat="1" ht="13.8">
      <c r="A31" s="825"/>
      <c r="B31" s="839"/>
      <c r="C31" s="840"/>
      <c r="D31" s="841"/>
      <c r="E31" s="903"/>
      <c r="F31" s="903"/>
      <c r="G31" s="844"/>
    </row>
    <row r="32" spans="1:7" s="815" customFormat="1" ht="13.8">
      <c r="A32" s="832"/>
      <c r="B32" s="826" t="s">
        <v>1648</v>
      </c>
      <c r="C32" s="833"/>
      <c r="D32" s="834"/>
      <c r="E32" s="904">
        <v>0</v>
      </c>
      <c r="F32" s="901"/>
      <c r="G32" s="835"/>
    </row>
    <row r="33" spans="1:7" s="815" customFormat="1" ht="13.8">
      <c r="A33" s="832"/>
      <c r="B33" s="826"/>
      <c r="C33" s="833"/>
      <c r="D33" s="834"/>
      <c r="E33" s="904"/>
      <c r="F33" s="905"/>
      <c r="G33" s="835"/>
    </row>
    <row r="34" spans="1:7" s="815" customFormat="1" ht="13.8">
      <c r="A34" s="832"/>
      <c r="B34" s="826" t="s">
        <v>1649</v>
      </c>
      <c r="C34" s="833"/>
      <c r="D34" s="834"/>
      <c r="E34" s="904">
        <v>0</v>
      </c>
      <c r="F34" s="901"/>
      <c r="G34" s="835"/>
    </row>
    <row r="35" spans="1:7" s="815" customFormat="1" ht="13.8">
      <c r="A35" s="832"/>
      <c r="B35" s="826"/>
      <c r="C35" s="833"/>
      <c r="D35" s="834"/>
      <c r="E35" s="904"/>
      <c r="F35" s="905"/>
      <c r="G35" s="835"/>
    </row>
    <row r="36" spans="1:7" s="815" customFormat="1" ht="13.8">
      <c r="A36" s="832"/>
      <c r="B36" s="826" t="s">
        <v>1650</v>
      </c>
      <c r="C36" s="833"/>
      <c r="D36" s="834"/>
      <c r="E36" s="904">
        <v>0</v>
      </c>
      <c r="F36" s="901"/>
      <c r="G36" s="835"/>
    </row>
    <row r="37" spans="1:7" s="815" customFormat="1" ht="13.8">
      <c r="A37" s="832"/>
      <c r="B37" s="826"/>
      <c r="C37" s="833"/>
      <c r="D37" s="834"/>
      <c r="E37" s="904"/>
      <c r="F37" s="905"/>
      <c r="G37" s="835"/>
    </row>
    <row r="38" spans="1:7" s="815" customFormat="1" ht="13.8">
      <c r="A38" s="832"/>
      <c r="B38" s="826" t="s">
        <v>1651</v>
      </c>
      <c r="C38" s="833"/>
      <c r="D38" s="834"/>
      <c r="E38" s="904">
        <v>0</v>
      </c>
      <c r="F38" s="901"/>
      <c r="G38" s="835"/>
    </row>
    <row r="39" spans="1:7" s="815" customFormat="1" ht="13.8">
      <c r="A39" s="832"/>
      <c r="B39" s="826"/>
      <c r="C39" s="833"/>
      <c r="D39" s="834"/>
      <c r="E39" s="904"/>
      <c r="F39" s="905"/>
      <c r="G39" s="835"/>
    </row>
    <row r="40" spans="1:7" s="815" customFormat="1" ht="13.8">
      <c r="A40" s="825"/>
      <c r="B40" s="826" t="s">
        <v>1652</v>
      </c>
      <c r="C40" s="827"/>
      <c r="D40" s="828"/>
      <c r="E40" s="904">
        <v>0</v>
      </c>
      <c r="F40" s="901"/>
      <c r="G40" s="829"/>
    </row>
    <row r="41" spans="1:7" s="815" customFormat="1" ht="13.8">
      <c r="A41" s="825"/>
      <c r="B41" s="826"/>
      <c r="C41" s="827"/>
      <c r="D41" s="828"/>
      <c r="E41" s="904"/>
      <c r="F41" s="906"/>
      <c r="G41" s="829"/>
    </row>
    <row r="42" spans="1:7" s="815" customFormat="1" ht="13.8">
      <c r="A42" s="825"/>
      <c r="B42" s="826" t="s">
        <v>1694</v>
      </c>
      <c r="C42" s="827"/>
      <c r="D42" s="828"/>
      <c r="E42" s="904"/>
      <c r="F42" s="885">
        <v>0</v>
      </c>
      <c r="G42" s="829"/>
    </row>
    <row r="43" spans="1:7" s="815" customFormat="1" ht="14.4" thickBot="1">
      <c r="A43" s="825"/>
      <c r="B43" s="839"/>
      <c r="C43" s="840"/>
      <c r="D43" s="841"/>
      <c r="E43" s="903"/>
      <c r="F43" s="903"/>
      <c r="G43" s="844"/>
    </row>
    <row r="44" spans="1:11" s="815" customFormat="1" ht="15.6">
      <c r="A44" s="825"/>
      <c r="B44" s="845" t="s">
        <v>1658</v>
      </c>
      <c r="C44" s="846"/>
      <c r="D44" s="847"/>
      <c r="E44" s="892">
        <f>SUM(E18:F42)</f>
        <v>0</v>
      </c>
      <c r="F44" s="893"/>
      <c r="G44" s="848"/>
      <c r="I44" s="849"/>
      <c r="J44" s="1647"/>
      <c r="K44" s="1648"/>
    </row>
    <row r="45" spans="1:11" s="815" customFormat="1" ht="15.6">
      <c r="A45" s="825"/>
      <c r="B45" s="850" t="s">
        <v>1659</v>
      </c>
      <c r="C45" s="851"/>
      <c r="D45" s="852"/>
      <c r="E45" s="1663">
        <f>PRODUCT(E44)*0.21</f>
        <v>0</v>
      </c>
      <c r="F45" s="1664"/>
      <c r="G45" s="848"/>
      <c r="I45" s="853"/>
      <c r="J45" s="854"/>
      <c r="K45" s="855"/>
    </row>
    <row r="46" spans="1:11" s="815" customFormat="1" ht="16.2" thickBot="1">
      <c r="A46" s="825"/>
      <c r="B46" s="856" t="s">
        <v>1660</v>
      </c>
      <c r="C46" s="857"/>
      <c r="D46" s="858"/>
      <c r="E46" s="1665">
        <f>0.21*E44+E44</f>
        <v>0</v>
      </c>
      <c r="F46" s="1666"/>
      <c r="G46" s="859"/>
      <c r="J46" s="1647"/>
      <c r="K46" s="1648"/>
    </row>
    <row r="47" spans="1:10" s="815" customFormat="1" ht="15.6">
      <c r="A47" s="825"/>
      <c r="B47" s="841"/>
      <c r="C47" s="860"/>
      <c r="D47" s="825"/>
      <c r="E47" s="825"/>
      <c r="F47" s="861"/>
      <c r="G47" s="859"/>
      <c r="J47" s="862"/>
    </row>
    <row r="48" spans="1:9" s="811" customFormat="1" ht="12.75">
      <c r="A48" s="806"/>
      <c r="D48" s="806"/>
      <c r="E48" s="806"/>
      <c r="F48" s="806"/>
      <c r="G48" s="806"/>
      <c r="I48" s="877"/>
    </row>
    <row r="49" spans="1:9" s="811" customFormat="1" ht="12.75">
      <c r="A49" s="806"/>
      <c r="D49" s="806"/>
      <c r="E49" s="806"/>
      <c r="F49" s="806"/>
      <c r="G49" s="806"/>
      <c r="I49" s="877"/>
    </row>
    <row r="50" spans="1:9" s="811" customFormat="1" ht="12.75">
      <c r="A50" s="806"/>
      <c r="B50" s="1649" t="s">
        <v>1695</v>
      </c>
      <c r="C50" s="1649"/>
      <c r="D50" s="806"/>
      <c r="E50" s="806"/>
      <c r="F50" s="806"/>
      <c r="G50" s="806"/>
      <c r="I50" s="877"/>
    </row>
    <row r="51" spans="2:3" ht="12.75">
      <c r="B51" s="1649" t="s">
        <v>1696</v>
      </c>
      <c r="C51" s="1649"/>
    </row>
    <row r="52" spans="1:12" s="879" customFormat="1" ht="12.75">
      <c r="A52" s="806"/>
      <c r="B52" s="867" t="s">
        <v>1702</v>
      </c>
      <c r="C52" s="868"/>
      <c r="D52" s="806"/>
      <c r="E52" s="806"/>
      <c r="F52" s="806"/>
      <c r="G52" s="806"/>
      <c r="L52" s="809"/>
    </row>
    <row r="54" ht="12.75">
      <c r="B54" s="882" t="s">
        <v>1662</v>
      </c>
    </row>
    <row r="55" ht="12.75">
      <c r="B55" s="806" t="s">
        <v>1661</v>
      </c>
    </row>
    <row r="65" spans="8:9" ht="12.75">
      <c r="H65" s="878"/>
      <c r="I65" s="878"/>
    </row>
    <row r="67" ht="12.75">
      <c r="H67" s="878"/>
    </row>
    <row r="68" ht="12.75">
      <c r="I68" s="878"/>
    </row>
  </sheetData>
  <mergeCells count="15">
    <mergeCell ref="J44:K44"/>
    <mergeCell ref="E45:F45"/>
    <mergeCell ref="E46:F46"/>
    <mergeCell ref="J46:K46"/>
    <mergeCell ref="B1:C1"/>
    <mergeCell ref="A3:G3"/>
    <mergeCell ref="A4:G4"/>
    <mergeCell ref="C10:G10"/>
    <mergeCell ref="C11:G11"/>
    <mergeCell ref="C13:D13"/>
    <mergeCell ref="B50:C50"/>
    <mergeCell ref="B51:C51"/>
    <mergeCell ref="B15:C15"/>
    <mergeCell ref="B16:G16"/>
    <mergeCell ref="B28:C28"/>
  </mergeCells>
  <printOptions/>
  <pageMargins left="0.68" right="0.44" top="0.65" bottom="0.67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/>
  </sheetPr>
  <dimension ref="A1:J314"/>
  <sheetViews>
    <sheetView workbookViewId="0" topLeftCell="A1"/>
  </sheetViews>
  <sheetFormatPr defaultColWidth="14.375" defaultRowHeight="12.75"/>
  <cols>
    <col min="1" max="1" width="10.50390625" style="682" customWidth="1"/>
    <col min="2" max="2" width="39.50390625" style="684" customWidth="1"/>
    <col min="3" max="3" width="5.375" style="684" customWidth="1"/>
    <col min="4" max="4" width="8.375" style="685" customWidth="1"/>
    <col min="5" max="5" width="11.50390625" style="685" customWidth="1"/>
    <col min="6" max="6" width="12.00390625" style="718" customWidth="1"/>
    <col min="7" max="256" width="14.375" style="684" customWidth="1"/>
    <col min="257" max="257" width="10.50390625" style="684" customWidth="1"/>
    <col min="258" max="258" width="39.50390625" style="684" customWidth="1"/>
    <col min="259" max="259" width="5.375" style="684" customWidth="1"/>
    <col min="260" max="260" width="8.375" style="684" customWidth="1"/>
    <col min="261" max="261" width="11.50390625" style="684" customWidth="1"/>
    <col min="262" max="262" width="12.00390625" style="684" customWidth="1"/>
    <col min="263" max="512" width="14.375" style="684" customWidth="1"/>
    <col min="513" max="513" width="10.50390625" style="684" customWidth="1"/>
    <col min="514" max="514" width="39.50390625" style="684" customWidth="1"/>
    <col min="515" max="515" width="5.375" style="684" customWidth="1"/>
    <col min="516" max="516" width="8.375" style="684" customWidth="1"/>
    <col min="517" max="517" width="11.50390625" style="684" customWidth="1"/>
    <col min="518" max="518" width="12.00390625" style="684" customWidth="1"/>
    <col min="519" max="768" width="14.375" style="684" customWidth="1"/>
    <col min="769" max="769" width="10.50390625" style="684" customWidth="1"/>
    <col min="770" max="770" width="39.50390625" style="684" customWidth="1"/>
    <col min="771" max="771" width="5.375" style="684" customWidth="1"/>
    <col min="772" max="772" width="8.375" style="684" customWidth="1"/>
    <col min="773" max="773" width="11.50390625" style="684" customWidth="1"/>
    <col min="774" max="774" width="12.00390625" style="684" customWidth="1"/>
    <col min="775" max="1024" width="14.375" style="684" customWidth="1"/>
    <col min="1025" max="1025" width="10.50390625" style="684" customWidth="1"/>
    <col min="1026" max="1026" width="39.50390625" style="684" customWidth="1"/>
    <col min="1027" max="1027" width="5.375" style="684" customWidth="1"/>
    <col min="1028" max="1028" width="8.375" style="684" customWidth="1"/>
    <col min="1029" max="1029" width="11.50390625" style="684" customWidth="1"/>
    <col min="1030" max="1030" width="12.00390625" style="684" customWidth="1"/>
    <col min="1031" max="1280" width="14.375" style="684" customWidth="1"/>
    <col min="1281" max="1281" width="10.50390625" style="684" customWidth="1"/>
    <col min="1282" max="1282" width="39.50390625" style="684" customWidth="1"/>
    <col min="1283" max="1283" width="5.375" style="684" customWidth="1"/>
    <col min="1284" max="1284" width="8.375" style="684" customWidth="1"/>
    <col min="1285" max="1285" width="11.50390625" style="684" customWidth="1"/>
    <col min="1286" max="1286" width="12.00390625" style="684" customWidth="1"/>
    <col min="1287" max="1536" width="14.375" style="684" customWidth="1"/>
    <col min="1537" max="1537" width="10.50390625" style="684" customWidth="1"/>
    <col min="1538" max="1538" width="39.50390625" style="684" customWidth="1"/>
    <col min="1539" max="1539" width="5.375" style="684" customWidth="1"/>
    <col min="1540" max="1540" width="8.375" style="684" customWidth="1"/>
    <col min="1541" max="1541" width="11.50390625" style="684" customWidth="1"/>
    <col min="1542" max="1542" width="12.00390625" style="684" customWidth="1"/>
    <col min="1543" max="1792" width="14.375" style="684" customWidth="1"/>
    <col min="1793" max="1793" width="10.50390625" style="684" customWidth="1"/>
    <col min="1794" max="1794" width="39.50390625" style="684" customWidth="1"/>
    <col min="1795" max="1795" width="5.375" style="684" customWidth="1"/>
    <col min="1796" max="1796" width="8.375" style="684" customWidth="1"/>
    <col min="1797" max="1797" width="11.50390625" style="684" customWidth="1"/>
    <col min="1798" max="1798" width="12.00390625" style="684" customWidth="1"/>
    <col min="1799" max="2048" width="14.375" style="684" customWidth="1"/>
    <col min="2049" max="2049" width="10.50390625" style="684" customWidth="1"/>
    <col min="2050" max="2050" width="39.50390625" style="684" customWidth="1"/>
    <col min="2051" max="2051" width="5.375" style="684" customWidth="1"/>
    <col min="2052" max="2052" width="8.375" style="684" customWidth="1"/>
    <col min="2053" max="2053" width="11.50390625" style="684" customWidth="1"/>
    <col min="2054" max="2054" width="12.00390625" style="684" customWidth="1"/>
    <col min="2055" max="2304" width="14.375" style="684" customWidth="1"/>
    <col min="2305" max="2305" width="10.50390625" style="684" customWidth="1"/>
    <col min="2306" max="2306" width="39.50390625" style="684" customWidth="1"/>
    <col min="2307" max="2307" width="5.375" style="684" customWidth="1"/>
    <col min="2308" max="2308" width="8.375" style="684" customWidth="1"/>
    <col min="2309" max="2309" width="11.50390625" style="684" customWidth="1"/>
    <col min="2310" max="2310" width="12.00390625" style="684" customWidth="1"/>
    <col min="2311" max="2560" width="14.375" style="684" customWidth="1"/>
    <col min="2561" max="2561" width="10.50390625" style="684" customWidth="1"/>
    <col min="2562" max="2562" width="39.50390625" style="684" customWidth="1"/>
    <col min="2563" max="2563" width="5.375" style="684" customWidth="1"/>
    <col min="2564" max="2564" width="8.375" style="684" customWidth="1"/>
    <col min="2565" max="2565" width="11.50390625" style="684" customWidth="1"/>
    <col min="2566" max="2566" width="12.00390625" style="684" customWidth="1"/>
    <col min="2567" max="2816" width="14.375" style="684" customWidth="1"/>
    <col min="2817" max="2817" width="10.50390625" style="684" customWidth="1"/>
    <col min="2818" max="2818" width="39.50390625" style="684" customWidth="1"/>
    <col min="2819" max="2819" width="5.375" style="684" customWidth="1"/>
    <col min="2820" max="2820" width="8.375" style="684" customWidth="1"/>
    <col min="2821" max="2821" width="11.50390625" style="684" customWidth="1"/>
    <col min="2822" max="2822" width="12.00390625" style="684" customWidth="1"/>
    <col min="2823" max="3072" width="14.375" style="684" customWidth="1"/>
    <col min="3073" max="3073" width="10.50390625" style="684" customWidth="1"/>
    <col min="3074" max="3074" width="39.50390625" style="684" customWidth="1"/>
    <col min="3075" max="3075" width="5.375" style="684" customWidth="1"/>
    <col min="3076" max="3076" width="8.375" style="684" customWidth="1"/>
    <col min="3077" max="3077" width="11.50390625" style="684" customWidth="1"/>
    <col min="3078" max="3078" width="12.00390625" style="684" customWidth="1"/>
    <col min="3079" max="3328" width="14.375" style="684" customWidth="1"/>
    <col min="3329" max="3329" width="10.50390625" style="684" customWidth="1"/>
    <col min="3330" max="3330" width="39.50390625" style="684" customWidth="1"/>
    <col min="3331" max="3331" width="5.375" style="684" customWidth="1"/>
    <col min="3332" max="3332" width="8.375" style="684" customWidth="1"/>
    <col min="3333" max="3333" width="11.50390625" style="684" customWidth="1"/>
    <col min="3334" max="3334" width="12.00390625" style="684" customWidth="1"/>
    <col min="3335" max="3584" width="14.375" style="684" customWidth="1"/>
    <col min="3585" max="3585" width="10.50390625" style="684" customWidth="1"/>
    <col min="3586" max="3586" width="39.50390625" style="684" customWidth="1"/>
    <col min="3587" max="3587" width="5.375" style="684" customWidth="1"/>
    <col min="3588" max="3588" width="8.375" style="684" customWidth="1"/>
    <col min="3589" max="3589" width="11.50390625" style="684" customWidth="1"/>
    <col min="3590" max="3590" width="12.00390625" style="684" customWidth="1"/>
    <col min="3591" max="3840" width="14.375" style="684" customWidth="1"/>
    <col min="3841" max="3841" width="10.50390625" style="684" customWidth="1"/>
    <col min="3842" max="3842" width="39.50390625" style="684" customWidth="1"/>
    <col min="3843" max="3843" width="5.375" style="684" customWidth="1"/>
    <col min="3844" max="3844" width="8.375" style="684" customWidth="1"/>
    <col min="3845" max="3845" width="11.50390625" style="684" customWidth="1"/>
    <col min="3846" max="3846" width="12.00390625" style="684" customWidth="1"/>
    <col min="3847" max="4096" width="14.375" style="684" customWidth="1"/>
    <col min="4097" max="4097" width="10.50390625" style="684" customWidth="1"/>
    <col min="4098" max="4098" width="39.50390625" style="684" customWidth="1"/>
    <col min="4099" max="4099" width="5.375" style="684" customWidth="1"/>
    <col min="4100" max="4100" width="8.375" style="684" customWidth="1"/>
    <col min="4101" max="4101" width="11.50390625" style="684" customWidth="1"/>
    <col min="4102" max="4102" width="12.00390625" style="684" customWidth="1"/>
    <col min="4103" max="4352" width="14.375" style="684" customWidth="1"/>
    <col min="4353" max="4353" width="10.50390625" style="684" customWidth="1"/>
    <col min="4354" max="4354" width="39.50390625" style="684" customWidth="1"/>
    <col min="4355" max="4355" width="5.375" style="684" customWidth="1"/>
    <col min="4356" max="4356" width="8.375" style="684" customWidth="1"/>
    <col min="4357" max="4357" width="11.50390625" style="684" customWidth="1"/>
    <col min="4358" max="4358" width="12.00390625" style="684" customWidth="1"/>
    <col min="4359" max="4608" width="14.375" style="684" customWidth="1"/>
    <col min="4609" max="4609" width="10.50390625" style="684" customWidth="1"/>
    <col min="4610" max="4610" width="39.50390625" style="684" customWidth="1"/>
    <col min="4611" max="4611" width="5.375" style="684" customWidth="1"/>
    <col min="4612" max="4612" width="8.375" style="684" customWidth="1"/>
    <col min="4613" max="4613" width="11.50390625" style="684" customWidth="1"/>
    <col min="4614" max="4614" width="12.00390625" style="684" customWidth="1"/>
    <col min="4615" max="4864" width="14.375" style="684" customWidth="1"/>
    <col min="4865" max="4865" width="10.50390625" style="684" customWidth="1"/>
    <col min="4866" max="4866" width="39.50390625" style="684" customWidth="1"/>
    <col min="4867" max="4867" width="5.375" style="684" customWidth="1"/>
    <col min="4868" max="4868" width="8.375" style="684" customWidth="1"/>
    <col min="4869" max="4869" width="11.50390625" style="684" customWidth="1"/>
    <col min="4870" max="4870" width="12.00390625" style="684" customWidth="1"/>
    <col min="4871" max="5120" width="14.375" style="684" customWidth="1"/>
    <col min="5121" max="5121" width="10.50390625" style="684" customWidth="1"/>
    <col min="5122" max="5122" width="39.50390625" style="684" customWidth="1"/>
    <col min="5123" max="5123" width="5.375" style="684" customWidth="1"/>
    <col min="5124" max="5124" width="8.375" style="684" customWidth="1"/>
    <col min="5125" max="5125" width="11.50390625" style="684" customWidth="1"/>
    <col min="5126" max="5126" width="12.00390625" style="684" customWidth="1"/>
    <col min="5127" max="5376" width="14.375" style="684" customWidth="1"/>
    <col min="5377" max="5377" width="10.50390625" style="684" customWidth="1"/>
    <col min="5378" max="5378" width="39.50390625" style="684" customWidth="1"/>
    <col min="5379" max="5379" width="5.375" style="684" customWidth="1"/>
    <col min="5380" max="5380" width="8.375" style="684" customWidth="1"/>
    <col min="5381" max="5381" width="11.50390625" style="684" customWidth="1"/>
    <col min="5382" max="5382" width="12.00390625" style="684" customWidth="1"/>
    <col min="5383" max="5632" width="14.375" style="684" customWidth="1"/>
    <col min="5633" max="5633" width="10.50390625" style="684" customWidth="1"/>
    <col min="5634" max="5634" width="39.50390625" style="684" customWidth="1"/>
    <col min="5635" max="5635" width="5.375" style="684" customWidth="1"/>
    <col min="5636" max="5636" width="8.375" style="684" customWidth="1"/>
    <col min="5637" max="5637" width="11.50390625" style="684" customWidth="1"/>
    <col min="5638" max="5638" width="12.00390625" style="684" customWidth="1"/>
    <col min="5639" max="5888" width="14.375" style="684" customWidth="1"/>
    <col min="5889" max="5889" width="10.50390625" style="684" customWidth="1"/>
    <col min="5890" max="5890" width="39.50390625" style="684" customWidth="1"/>
    <col min="5891" max="5891" width="5.375" style="684" customWidth="1"/>
    <col min="5892" max="5892" width="8.375" style="684" customWidth="1"/>
    <col min="5893" max="5893" width="11.50390625" style="684" customWidth="1"/>
    <col min="5894" max="5894" width="12.00390625" style="684" customWidth="1"/>
    <col min="5895" max="6144" width="14.375" style="684" customWidth="1"/>
    <col min="6145" max="6145" width="10.50390625" style="684" customWidth="1"/>
    <col min="6146" max="6146" width="39.50390625" style="684" customWidth="1"/>
    <col min="6147" max="6147" width="5.375" style="684" customWidth="1"/>
    <col min="6148" max="6148" width="8.375" style="684" customWidth="1"/>
    <col min="6149" max="6149" width="11.50390625" style="684" customWidth="1"/>
    <col min="6150" max="6150" width="12.00390625" style="684" customWidth="1"/>
    <col min="6151" max="6400" width="14.375" style="684" customWidth="1"/>
    <col min="6401" max="6401" width="10.50390625" style="684" customWidth="1"/>
    <col min="6402" max="6402" width="39.50390625" style="684" customWidth="1"/>
    <col min="6403" max="6403" width="5.375" style="684" customWidth="1"/>
    <col min="6404" max="6404" width="8.375" style="684" customWidth="1"/>
    <col min="6405" max="6405" width="11.50390625" style="684" customWidth="1"/>
    <col min="6406" max="6406" width="12.00390625" style="684" customWidth="1"/>
    <col min="6407" max="6656" width="14.375" style="684" customWidth="1"/>
    <col min="6657" max="6657" width="10.50390625" style="684" customWidth="1"/>
    <col min="6658" max="6658" width="39.50390625" style="684" customWidth="1"/>
    <col min="6659" max="6659" width="5.375" style="684" customWidth="1"/>
    <col min="6660" max="6660" width="8.375" style="684" customWidth="1"/>
    <col min="6661" max="6661" width="11.50390625" style="684" customWidth="1"/>
    <col min="6662" max="6662" width="12.00390625" style="684" customWidth="1"/>
    <col min="6663" max="6912" width="14.375" style="684" customWidth="1"/>
    <col min="6913" max="6913" width="10.50390625" style="684" customWidth="1"/>
    <col min="6914" max="6914" width="39.50390625" style="684" customWidth="1"/>
    <col min="6915" max="6915" width="5.375" style="684" customWidth="1"/>
    <col min="6916" max="6916" width="8.375" style="684" customWidth="1"/>
    <col min="6917" max="6917" width="11.50390625" style="684" customWidth="1"/>
    <col min="6918" max="6918" width="12.00390625" style="684" customWidth="1"/>
    <col min="6919" max="7168" width="14.375" style="684" customWidth="1"/>
    <col min="7169" max="7169" width="10.50390625" style="684" customWidth="1"/>
    <col min="7170" max="7170" width="39.50390625" style="684" customWidth="1"/>
    <col min="7171" max="7171" width="5.375" style="684" customWidth="1"/>
    <col min="7172" max="7172" width="8.375" style="684" customWidth="1"/>
    <col min="7173" max="7173" width="11.50390625" style="684" customWidth="1"/>
    <col min="7174" max="7174" width="12.00390625" style="684" customWidth="1"/>
    <col min="7175" max="7424" width="14.375" style="684" customWidth="1"/>
    <col min="7425" max="7425" width="10.50390625" style="684" customWidth="1"/>
    <col min="7426" max="7426" width="39.50390625" style="684" customWidth="1"/>
    <col min="7427" max="7427" width="5.375" style="684" customWidth="1"/>
    <col min="7428" max="7428" width="8.375" style="684" customWidth="1"/>
    <col min="7429" max="7429" width="11.50390625" style="684" customWidth="1"/>
    <col min="7430" max="7430" width="12.00390625" style="684" customWidth="1"/>
    <col min="7431" max="7680" width="14.375" style="684" customWidth="1"/>
    <col min="7681" max="7681" width="10.50390625" style="684" customWidth="1"/>
    <col min="7682" max="7682" width="39.50390625" style="684" customWidth="1"/>
    <col min="7683" max="7683" width="5.375" style="684" customWidth="1"/>
    <col min="7684" max="7684" width="8.375" style="684" customWidth="1"/>
    <col min="7685" max="7685" width="11.50390625" style="684" customWidth="1"/>
    <col min="7686" max="7686" width="12.00390625" style="684" customWidth="1"/>
    <col min="7687" max="7936" width="14.375" style="684" customWidth="1"/>
    <col min="7937" max="7937" width="10.50390625" style="684" customWidth="1"/>
    <col min="7938" max="7938" width="39.50390625" style="684" customWidth="1"/>
    <col min="7939" max="7939" width="5.375" style="684" customWidth="1"/>
    <col min="7940" max="7940" width="8.375" style="684" customWidth="1"/>
    <col min="7941" max="7941" width="11.50390625" style="684" customWidth="1"/>
    <col min="7942" max="7942" width="12.00390625" style="684" customWidth="1"/>
    <col min="7943" max="8192" width="14.375" style="684" customWidth="1"/>
    <col min="8193" max="8193" width="10.50390625" style="684" customWidth="1"/>
    <col min="8194" max="8194" width="39.50390625" style="684" customWidth="1"/>
    <col min="8195" max="8195" width="5.375" style="684" customWidth="1"/>
    <col min="8196" max="8196" width="8.375" style="684" customWidth="1"/>
    <col min="8197" max="8197" width="11.50390625" style="684" customWidth="1"/>
    <col min="8198" max="8198" width="12.00390625" style="684" customWidth="1"/>
    <col min="8199" max="8448" width="14.375" style="684" customWidth="1"/>
    <col min="8449" max="8449" width="10.50390625" style="684" customWidth="1"/>
    <col min="8450" max="8450" width="39.50390625" style="684" customWidth="1"/>
    <col min="8451" max="8451" width="5.375" style="684" customWidth="1"/>
    <col min="8452" max="8452" width="8.375" style="684" customWidth="1"/>
    <col min="8453" max="8453" width="11.50390625" style="684" customWidth="1"/>
    <col min="8454" max="8454" width="12.00390625" style="684" customWidth="1"/>
    <col min="8455" max="8704" width="14.375" style="684" customWidth="1"/>
    <col min="8705" max="8705" width="10.50390625" style="684" customWidth="1"/>
    <col min="8706" max="8706" width="39.50390625" style="684" customWidth="1"/>
    <col min="8707" max="8707" width="5.375" style="684" customWidth="1"/>
    <col min="8708" max="8708" width="8.375" style="684" customWidth="1"/>
    <col min="8709" max="8709" width="11.50390625" style="684" customWidth="1"/>
    <col min="8710" max="8710" width="12.00390625" style="684" customWidth="1"/>
    <col min="8711" max="8960" width="14.375" style="684" customWidth="1"/>
    <col min="8961" max="8961" width="10.50390625" style="684" customWidth="1"/>
    <col min="8962" max="8962" width="39.50390625" style="684" customWidth="1"/>
    <col min="8963" max="8963" width="5.375" style="684" customWidth="1"/>
    <col min="8964" max="8964" width="8.375" style="684" customWidth="1"/>
    <col min="8965" max="8965" width="11.50390625" style="684" customWidth="1"/>
    <col min="8966" max="8966" width="12.00390625" style="684" customWidth="1"/>
    <col min="8967" max="9216" width="14.375" style="684" customWidth="1"/>
    <col min="9217" max="9217" width="10.50390625" style="684" customWidth="1"/>
    <col min="9218" max="9218" width="39.50390625" style="684" customWidth="1"/>
    <col min="9219" max="9219" width="5.375" style="684" customWidth="1"/>
    <col min="9220" max="9220" width="8.375" style="684" customWidth="1"/>
    <col min="9221" max="9221" width="11.50390625" style="684" customWidth="1"/>
    <col min="9222" max="9222" width="12.00390625" style="684" customWidth="1"/>
    <col min="9223" max="9472" width="14.375" style="684" customWidth="1"/>
    <col min="9473" max="9473" width="10.50390625" style="684" customWidth="1"/>
    <col min="9474" max="9474" width="39.50390625" style="684" customWidth="1"/>
    <col min="9475" max="9475" width="5.375" style="684" customWidth="1"/>
    <col min="9476" max="9476" width="8.375" style="684" customWidth="1"/>
    <col min="9477" max="9477" width="11.50390625" style="684" customWidth="1"/>
    <col min="9478" max="9478" width="12.00390625" style="684" customWidth="1"/>
    <col min="9479" max="9728" width="14.375" style="684" customWidth="1"/>
    <col min="9729" max="9729" width="10.50390625" style="684" customWidth="1"/>
    <col min="9730" max="9730" width="39.50390625" style="684" customWidth="1"/>
    <col min="9731" max="9731" width="5.375" style="684" customWidth="1"/>
    <col min="9732" max="9732" width="8.375" style="684" customWidth="1"/>
    <col min="9733" max="9733" width="11.50390625" style="684" customWidth="1"/>
    <col min="9734" max="9734" width="12.00390625" style="684" customWidth="1"/>
    <col min="9735" max="9984" width="14.375" style="684" customWidth="1"/>
    <col min="9985" max="9985" width="10.50390625" style="684" customWidth="1"/>
    <col min="9986" max="9986" width="39.50390625" style="684" customWidth="1"/>
    <col min="9987" max="9987" width="5.375" style="684" customWidth="1"/>
    <col min="9988" max="9988" width="8.375" style="684" customWidth="1"/>
    <col min="9989" max="9989" width="11.50390625" style="684" customWidth="1"/>
    <col min="9990" max="9990" width="12.00390625" style="684" customWidth="1"/>
    <col min="9991" max="10240" width="14.375" style="684" customWidth="1"/>
    <col min="10241" max="10241" width="10.50390625" style="684" customWidth="1"/>
    <col min="10242" max="10242" width="39.50390625" style="684" customWidth="1"/>
    <col min="10243" max="10243" width="5.375" style="684" customWidth="1"/>
    <col min="10244" max="10244" width="8.375" style="684" customWidth="1"/>
    <col min="10245" max="10245" width="11.50390625" style="684" customWidth="1"/>
    <col min="10246" max="10246" width="12.00390625" style="684" customWidth="1"/>
    <col min="10247" max="10496" width="14.375" style="684" customWidth="1"/>
    <col min="10497" max="10497" width="10.50390625" style="684" customWidth="1"/>
    <col min="10498" max="10498" width="39.50390625" style="684" customWidth="1"/>
    <col min="10499" max="10499" width="5.375" style="684" customWidth="1"/>
    <col min="10500" max="10500" width="8.375" style="684" customWidth="1"/>
    <col min="10501" max="10501" width="11.50390625" style="684" customWidth="1"/>
    <col min="10502" max="10502" width="12.00390625" style="684" customWidth="1"/>
    <col min="10503" max="10752" width="14.375" style="684" customWidth="1"/>
    <col min="10753" max="10753" width="10.50390625" style="684" customWidth="1"/>
    <col min="10754" max="10754" width="39.50390625" style="684" customWidth="1"/>
    <col min="10755" max="10755" width="5.375" style="684" customWidth="1"/>
    <col min="10756" max="10756" width="8.375" style="684" customWidth="1"/>
    <col min="10757" max="10757" width="11.50390625" style="684" customWidth="1"/>
    <col min="10758" max="10758" width="12.00390625" style="684" customWidth="1"/>
    <col min="10759" max="11008" width="14.375" style="684" customWidth="1"/>
    <col min="11009" max="11009" width="10.50390625" style="684" customWidth="1"/>
    <col min="11010" max="11010" width="39.50390625" style="684" customWidth="1"/>
    <col min="11011" max="11011" width="5.375" style="684" customWidth="1"/>
    <col min="11012" max="11012" width="8.375" style="684" customWidth="1"/>
    <col min="11013" max="11013" width="11.50390625" style="684" customWidth="1"/>
    <col min="11014" max="11014" width="12.00390625" style="684" customWidth="1"/>
    <col min="11015" max="11264" width="14.375" style="684" customWidth="1"/>
    <col min="11265" max="11265" width="10.50390625" style="684" customWidth="1"/>
    <col min="11266" max="11266" width="39.50390625" style="684" customWidth="1"/>
    <col min="11267" max="11267" width="5.375" style="684" customWidth="1"/>
    <col min="11268" max="11268" width="8.375" style="684" customWidth="1"/>
    <col min="11269" max="11269" width="11.50390625" style="684" customWidth="1"/>
    <col min="11270" max="11270" width="12.00390625" style="684" customWidth="1"/>
    <col min="11271" max="11520" width="14.375" style="684" customWidth="1"/>
    <col min="11521" max="11521" width="10.50390625" style="684" customWidth="1"/>
    <col min="11522" max="11522" width="39.50390625" style="684" customWidth="1"/>
    <col min="11523" max="11523" width="5.375" style="684" customWidth="1"/>
    <col min="11524" max="11524" width="8.375" style="684" customWidth="1"/>
    <col min="11525" max="11525" width="11.50390625" style="684" customWidth="1"/>
    <col min="11526" max="11526" width="12.00390625" style="684" customWidth="1"/>
    <col min="11527" max="11776" width="14.375" style="684" customWidth="1"/>
    <col min="11777" max="11777" width="10.50390625" style="684" customWidth="1"/>
    <col min="11778" max="11778" width="39.50390625" style="684" customWidth="1"/>
    <col min="11779" max="11779" width="5.375" style="684" customWidth="1"/>
    <col min="11780" max="11780" width="8.375" style="684" customWidth="1"/>
    <col min="11781" max="11781" width="11.50390625" style="684" customWidth="1"/>
    <col min="11782" max="11782" width="12.00390625" style="684" customWidth="1"/>
    <col min="11783" max="12032" width="14.375" style="684" customWidth="1"/>
    <col min="12033" max="12033" width="10.50390625" style="684" customWidth="1"/>
    <col min="12034" max="12034" width="39.50390625" style="684" customWidth="1"/>
    <col min="12035" max="12035" width="5.375" style="684" customWidth="1"/>
    <col min="12036" max="12036" width="8.375" style="684" customWidth="1"/>
    <col min="12037" max="12037" width="11.50390625" style="684" customWidth="1"/>
    <col min="12038" max="12038" width="12.00390625" style="684" customWidth="1"/>
    <col min="12039" max="12288" width="14.375" style="684" customWidth="1"/>
    <col min="12289" max="12289" width="10.50390625" style="684" customWidth="1"/>
    <col min="12290" max="12290" width="39.50390625" style="684" customWidth="1"/>
    <col min="12291" max="12291" width="5.375" style="684" customWidth="1"/>
    <col min="12292" max="12292" width="8.375" style="684" customWidth="1"/>
    <col min="12293" max="12293" width="11.50390625" style="684" customWidth="1"/>
    <col min="12294" max="12294" width="12.00390625" style="684" customWidth="1"/>
    <col min="12295" max="12544" width="14.375" style="684" customWidth="1"/>
    <col min="12545" max="12545" width="10.50390625" style="684" customWidth="1"/>
    <col min="12546" max="12546" width="39.50390625" style="684" customWidth="1"/>
    <col min="12547" max="12547" width="5.375" style="684" customWidth="1"/>
    <col min="12548" max="12548" width="8.375" style="684" customWidth="1"/>
    <col min="12549" max="12549" width="11.50390625" style="684" customWidth="1"/>
    <col min="12550" max="12550" width="12.00390625" style="684" customWidth="1"/>
    <col min="12551" max="12800" width="14.375" style="684" customWidth="1"/>
    <col min="12801" max="12801" width="10.50390625" style="684" customWidth="1"/>
    <col min="12802" max="12802" width="39.50390625" style="684" customWidth="1"/>
    <col min="12803" max="12803" width="5.375" style="684" customWidth="1"/>
    <col min="12804" max="12804" width="8.375" style="684" customWidth="1"/>
    <col min="12805" max="12805" width="11.50390625" style="684" customWidth="1"/>
    <col min="12806" max="12806" width="12.00390625" style="684" customWidth="1"/>
    <col min="12807" max="13056" width="14.375" style="684" customWidth="1"/>
    <col min="13057" max="13057" width="10.50390625" style="684" customWidth="1"/>
    <col min="13058" max="13058" width="39.50390625" style="684" customWidth="1"/>
    <col min="13059" max="13059" width="5.375" style="684" customWidth="1"/>
    <col min="13060" max="13060" width="8.375" style="684" customWidth="1"/>
    <col min="13061" max="13061" width="11.50390625" style="684" customWidth="1"/>
    <col min="13062" max="13062" width="12.00390625" style="684" customWidth="1"/>
    <col min="13063" max="13312" width="14.375" style="684" customWidth="1"/>
    <col min="13313" max="13313" width="10.50390625" style="684" customWidth="1"/>
    <col min="13314" max="13314" width="39.50390625" style="684" customWidth="1"/>
    <col min="13315" max="13315" width="5.375" style="684" customWidth="1"/>
    <col min="13316" max="13316" width="8.375" style="684" customWidth="1"/>
    <col min="13317" max="13317" width="11.50390625" style="684" customWidth="1"/>
    <col min="13318" max="13318" width="12.00390625" style="684" customWidth="1"/>
    <col min="13319" max="13568" width="14.375" style="684" customWidth="1"/>
    <col min="13569" max="13569" width="10.50390625" style="684" customWidth="1"/>
    <col min="13570" max="13570" width="39.50390625" style="684" customWidth="1"/>
    <col min="13571" max="13571" width="5.375" style="684" customWidth="1"/>
    <col min="13572" max="13572" width="8.375" style="684" customWidth="1"/>
    <col min="13573" max="13573" width="11.50390625" style="684" customWidth="1"/>
    <col min="13574" max="13574" width="12.00390625" style="684" customWidth="1"/>
    <col min="13575" max="13824" width="14.375" style="684" customWidth="1"/>
    <col min="13825" max="13825" width="10.50390625" style="684" customWidth="1"/>
    <col min="13826" max="13826" width="39.50390625" style="684" customWidth="1"/>
    <col min="13827" max="13827" width="5.375" style="684" customWidth="1"/>
    <col min="13828" max="13828" width="8.375" style="684" customWidth="1"/>
    <col min="13829" max="13829" width="11.50390625" style="684" customWidth="1"/>
    <col min="13830" max="13830" width="12.00390625" style="684" customWidth="1"/>
    <col min="13831" max="14080" width="14.375" style="684" customWidth="1"/>
    <col min="14081" max="14081" width="10.50390625" style="684" customWidth="1"/>
    <col min="14082" max="14082" width="39.50390625" style="684" customWidth="1"/>
    <col min="14083" max="14083" width="5.375" style="684" customWidth="1"/>
    <col min="14084" max="14084" width="8.375" style="684" customWidth="1"/>
    <col min="14085" max="14085" width="11.50390625" style="684" customWidth="1"/>
    <col min="14086" max="14086" width="12.00390625" style="684" customWidth="1"/>
    <col min="14087" max="14336" width="14.375" style="684" customWidth="1"/>
    <col min="14337" max="14337" width="10.50390625" style="684" customWidth="1"/>
    <col min="14338" max="14338" width="39.50390625" style="684" customWidth="1"/>
    <col min="14339" max="14339" width="5.375" style="684" customWidth="1"/>
    <col min="14340" max="14340" width="8.375" style="684" customWidth="1"/>
    <col min="14341" max="14341" width="11.50390625" style="684" customWidth="1"/>
    <col min="14342" max="14342" width="12.00390625" style="684" customWidth="1"/>
    <col min="14343" max="14592" width="14.375" style="684" customWidth="1"/>
    <col min="14593" max="14593" width="10.50390625" style="684" customWidth="1"/>
    <col min="14594" max="14594" width="39.50390625" style="684" customWidth="1"/>
    <col min="14595" max="14595" width="5.375" style="684" customWidth="1"/>
    <col min="14596" max="14596" width="8.375" style="684" customWidth="1"/>
    <col min="14597" max="14597" width="11.50390625" style="684" customWidth="1"/>
    <col min="14598" max="14598" width="12.00390625" style="684" customWidth="1"/>
    <col min="14599" max="14848" width="14.375" style="684" customWidth="1"/>
    <col min="14849" max="14849" width="10.50390625" style="684" customWidth="1"/>
    <col min="14850" max="14850" width="39.50390625" style="684" customWidth="1"/>
    <col min="14851" max="14851" width="5.375" style="684" customWidth="1"/>
    <col min="14852" max="14852" width="8.375" style="684" customWidth="1"/>
    <col min="14853" max="14853" width="11.50390625" style="684" customWidth="1"/>
    <col min="14854" max="14854" width="12.00390625" style="684" customWidth="1"/>
    <col min="14855" max="15104" width="14.375" style="684" customWidth="1"/>
    <col min="15105" max="15105" width="10.50390625" style="684" customWidth="1"/>
    <col min="15106" max="15106" width="39.50390625" style="684" customWidth="1"/>
    <col min="15107" max="15107" width="5.375" style="684" customWidth="1"/>
    <col min="15108" max="15108" width="8.375" style="684" customWidth="1"/>
    <col min="15109" max="15109" width="11.50390625" style="684" customWidth="1"/>
    <col min="15110" max="15110" width="12.00390625" style="684" customWidth="1"/>
    <col min="15111" max="15360" width="14.375" style="684" customWidth="1"/>
    <col min="15361" max="15361" width="10.50390625" style="684" customWidth="1"/>
    <col min="15362" max="15362" width="39.50390625" style="684" customWidth="1"/>
    <col min="15363" max="15363" width="5.375" style="684" customWidth="1"/>
    <col min="15364" max="15364" width="8.375" style="684" customWidth="1"/>
    <col min="15365" max="15365" width="11.50390625" style="684" customWidth="1"/>
    <col min="15366" max="15366" width="12.00390625" style="684" customWidth="1"/>
    <col min="15367" max="15616" width="14.375" style="684" customWidth="1"/>
    <col min="15617" max="15617" width="10.50390625" style="684" customWidth="1"/>
    <col min="15618" max="15618" width="39.50390625" style="684" customWidth="1"/>
    <col min="15619" max="15619" width="5.375" style="684" customWidth="1"/>
    <col min="15620" max="15620" width="8.375" style="684" customWidth="1"/>
    <col min="15621" max="15621" width="11.50390625" style="684" customWidth="1"/>
    <col min="15622" max="15622" width="12.00390625" style="684" customWidth="1"/>
    <col min="15623" max="15872" width="14.375" style="684" customWidth="1"/>
    <col min="15873" max="15873" width="10.50390625" style="684" customWidth="1"/>
    <col min="15874" max="15874" width="39.50390625" style="684" customWidth="1"/>
    <col min="15875" max="15875" width="5.375" style="684" customWidth="1"/>
    <col min="15876" max="15876" width="8.375" style="684" customWidth="1"/>
    <col min="15877" max="15877" width="11.50390625" style="684" customWidth="1"/>
    <col min="15878" max="15878" width="12.00390625" style="684" customWidth="1"/>
    <col min="15879" max="16128" width="14.375" style="684" customWidth="1"/>
    <col min="16129" max="16129" width="10.50390625" style="684" customWidth="1"/>
    <col min="16130" max="16130" width="39.50390625" style="684" customWidth="1"/>
    <col min="16131" max="16131" width="5.375" style="684" customWidth="1"/>
    <col min="16132" max="16132" width="8.375" style="684" customWidth="1"/>
    <col min="16133" max="16133" width="11.50390625" style="684" customWidth="1"/>
    <col min="16134" max="16134" width="12.00390625" style="684" customWidth="1"/>
    <col min="16135" max="16384" width="14.375" style="684" customWidth="1"/>
  </cols>
  <sheetData>
    <row r="1" spans="2:6" ht="15.6">
      <c r="B1" s="683" t="s">
        <v>1065</v>
      </c>
      <c r="F1" s="684"/>
    </row>
    <row r="2" spans="2:6" ht="12.75">
      <c r="B2" s="686"/>
      <c r="F2" s="684"/>
    </row>
    <row r="3" spans="2:6" ht="13.8">
      <c r="B3" s="687" t="s">
        <v>1704</v>
      </c>
      <c r="F3" s="684"/>
    </row>
    <row r="4" spans="2:6" ht="12.75">
      <c r="B4" s="686"/>
      <c r="F4" s="684"/>
    </row>
    <row r="5" spans="2:6" ht="13.2">
      <c r="B5" s="688" t="s">
        <v>1705</v>
      </c>
      <c r="F5" s="684"/>
    </row>
    <row r="6" spans="2:6" ht="12.75">
      <c r="B6" s="684" t="s">
        <v>1068</v>
      </c>
      <c r="D6" s="689"/>
      <c r="E6" s="690" t="s">
        <v>1069</v>
      </c>
      <c r="F6" s="684"/>
    </row>
    <row r="7" spans="1:7" ht="12.75">
      <c r="A7" s="691" t="s">
        <v>1070</v>
      </c>
      <c r="B7" s="692" t="s">
        <v>1071</v>
      </c>
      <c r="C7" s="692" t="s">
        <v>1072</v>
      </c>
      <c r="D7" s="693" t="s">
        <v>133</v>
      </c>
      <c r="E7" s="693" t="s">
        <v>1042</v>
      </c>
      <c r="F7" s="694" t="s">
        <v>1073</v>
      </c>
      <c r="G7" s="695"/>
    </row>
    <row r="8" spans="1:6" ht="12.75">
      <c r="A8" s="696"/>
      <c r="B8" s="697"/>
      <c r="C8" s="698"/>
      <c r="D8" s="699"/>
      <c r="E8" s="699"/>
      <c r="F8" s="700"/>
    </row>
    <row r="9" spans="1:6" s="703" customFormat="1" ht="12.75">
      <c r="A9" s="701"/>
      <c r="B9" s="732" t="s">
        <v>1706</v>
      </c>
      <c r="F9" s="705"/>
    </row>
    <row r="10" spans="1:6" s="703" customFormat="1" ht="12.75">
      <c r="A10" s="701">
        <v>1</v>
      </c>
      <c r="B10" s="702" t="s">
        <v>1707</v>
      </c>
      <c r="C10" s="703" t="s">
        <v>231</v>
      </c>
      <c r="D10" s="704">
        <v>10</v>
      </c>
      <c r="F10" s="705">
        <f aca="true" t="shared" si="0" ref="F10:F24">D10*E10</f>
        <v>0</v>
      </c>
    </row>
    <row r="11" spans="1:6" s="703" customFormat="1" ht="12.75">
      <c r="A11" s="701">
        <v>2</v>
      </c>
      <c r="B11" s="702" t="s">
        <v>1708</v>
      </c>
      <c r="C11" s="703" t="s">
        <v>231</v>
      </c>
      <c r="D11" s="704">
        <v>90</v>
      </c>
      <c r="F11" s="705">
        <f t="shared" si="0"/>
        <v>0</v>
      </c>
    </row>
    <row r="12" spans="1:6" s="703" customFormat="1" ht="12.75">
      <c r="A12" s="701">
        <v>3</v>
      </c>
      <c r="B12" s="702" t="s">
        <v>1709</v>
      </c>
      <c r="C12" s="703" t="s">
        <v>231</v>
      </c>
      <c r="D12" s="704">
        <v>35</v>
      </c>
      <c r="F12" s="705">
        <f t="shared" si="0"/>
        <v>0</v>
      </c>
    </row>
    <row r="13" spans="1:6" s="703" customFormat="1" ht="12.75">
      <c r="A13" s="701">
        <v>4</v>
      </c>
      <c r="B13" s="702" t="s">
        <v>1710</v>
      </c>
      <c r="C13" s="703" t="s">
        <v>231</v>
      </c>
      <c r="D13" s="704">
        <v>65</v>
      </c>
      <c r="F13" s="705">
        <f t="shared" si="0"/>
        <v>0</v>
      </c>
    </row>
    <row r="14" spans="1:6" s="703" customFormat="1" ht="12.75">
      <c r="A14" s="701">
        <v>5</v>
      </c>
      <c r="B14" s="702" t="s">
        <v>1711</v>
      </c>
      <c r="C14" s="703" t="s">
        <v>757</v>
      </c>
      <c r="D14" s="704">
        <v>6</v>
      </c>
      <c r="F14" s="705">
        <f t="shared" si="0"/>
        <v>0</v>
      </c>
    </row>
    <row r="15" spans="1:6" s="703" customFormat="1" ht="12.75">
      <c r="A15" s="701">
        <v>6</v>
      </c>
      <c r="B15" s="702" t="s">
        <v>1712</v>
      </c>
      <c r="C15" s="703" t="s">
        <v>757</v>
      </c>
      <c r="D15" s="704">
        <v>3</v>
      </c>
      <c r="F15" s="705">
        <f t="shared" si="0"/>
        <v>0</v>
      </c>
    </row>
    <row r="16" spans="1:6" s="703" customFormat="1" ht="12.75">
      <c r="A16" s="701">
        <v>7</v>
      </c>
      <c r="B16" s="702" t="s">
        <v>1713</v>
      </c>
      <c r="C16" s="703" t="s">
        <v>757</v>
      </c>
      <c r="D16" s="704">
        <v>3</v>
      </c>
      <c r="F16" s="705">
        <f t="shared" si="0"/>
        <v>0</v>
      </c>
    </row>
    <row r="17" spans="1:6" s="703" customFormat="1" ht="12.75">
      <c r="A17" s="701">
        <v>8</v>
      </c>
      <c r="B17" s="702" t="s">
        <v>1714</v>
      </c>
      <c r="C17" s="703" t="s">
        <v>757</v>
      </c>
      <c r="D17" s="704">
        <v>4</v>
      </c>
      <c r="F17" s="705">
        <f t="shared" si="0"/>
        <v>0</v>
      </c>
    </row>
    <row r="18" spans="1:6" s="703" customFormat="1" ht="12.75">
      <c r="A18" s="701">
        <v>9</v>
      </c>
      <c r="B18" s="702" t="s">
        <v>1715</v>
      </c>
      <c r="C18" s="703" t="s">
        <v>231</v>
      </c>
      <c r="D18" s="704">
        <v>65</v>
      </c>
      <c r="F18" s="705">
        <f>D18*E18</f>
        <v>0</v>
      </c>
    </row>
    <row r="19" spans="1:6" s="703" customFormat="1" ht="12.75">
      <c r="A19" s="701">
        <v>10</v>
      </c>
      <c r="B19" s="702" t="s">
        <v>1092</v>
      </c>
      <c r="C19" s="703" t="s">
        <v>231</v>
      </c>
      <c r="D19" s="704">
        <f>SUM(D10:D13)</f>
        <v>200</v>
      </c>
      <c r="F19" s="705">
        <f t="shared" si="0"/>
        <v>0</v>
      </c>
    </row>
    <row r="20" spans="1:6" s="703" customFormat="1" ht="12.75">
      <c r="A20" s="701">
        <v>11</v>
      </c>
      <c r="B20" s="702" t="s">
        <v>1716</v>
      </c>
      <c r="C20" s="703" t="s">
        <v>757</v>
      </c>
      <c r="D20" s="704">
        <f>SUM(D15:D16)</f>
        <v>6</v>
      </c>
      <c r="F20" s="705">
        <f t="shared" si="0"/>
        <v>0</v>
      </c>
    </row>
    <row r="21" spans="1:6" s="703" customFormat="1" ht="12.75">
      <c r="A21" s="701">
        <v>12</v>
      </c>
      <c r="B21" s="702" t="s">
        <v>1717</v>
      </c>
      <c r="C21" s="703" t="s">
        <v>757</v>
      </c>
      <c r="D21" s="704">
        <f>SUM(D17)</f>
        <v>4</v>
      </c>
      <c r="F21" s="705">
        <f t="shared" si="0"/>
        <v>0</v>
      </c>
    </row>
    <row r="22" spans="1:6" s="703" customFormat="1" ht="12.75">
      <c r="A22" s="701">
        <v>13</v>
      </c>
      <c r="B22" s="702" t="s">
        <v>1093</v>
      </c>
      <c r="C22" s="703" t="s">
        <v>231</v>
      </c>
      <c r="D22" s="704">
        <f>SUM(D19)</f>
        <v>200</v>
      </c>
      <c r="F22" s="705">
        <f t="shared" si="0"/>
        <v>0</v>
      </c>
    </row>
    <row r="23" spans="1:6" s="703" customFormat="1" ht="12.75">
      <c r="A23" s="701">
        <v>14</v>
      </c>
      <c r="B23" s="702" t="s">
        <v>1094</v>
      </c>
      <c r="C23" s="703" t="s">
        <v>231</v>
      </c>
      <c r="D23" s="704">
        <f>SUM(D22)</f>
        <v>200</v>
      </c>
      <c r="F23" s="705">
        <f t="shared" si="0"/>
        <v>0</v>
      </c>
    </row>
    <row r="24" spans="1:6" s="703" customFormat="1" ht="12.75">
      <c r="A24" s="701">
        <v>15</v>
      </c>
      <c r="B24" s="702" t="s">
        <v>1095</v>
      </c>
      <c r="C24" s="703" t="s">
        <v>1096</v>
      </c>
      <c r="D24" s="704">
        <v>1</v>
      </c>
      <c r="F24" s="705">
        <f t="shared" si="0"/>
        <v>0</v>
      </c>
    </row>
    <row r="25" spans="1:8" s="703" customFormat="1" ht="12.75">
      <c r="A25" s="701">
        <v>16</v>
      </c>
      <c r="B25" s="708" t="s">
        <v>1718</v>
      </c>
      <c r="C25" s="907" t="s">
        <v>9</v>
      </c>
      <c r="D25" s="908">
        <v>2</v>
      </c>
      <c r="E25" s="908"/>
      <c r="F25" s="909">
        <f>E25*D25</f>
        <v>0</v>
      </c>
      <c r="H25" s="910">
        <v>560140</v>
      </c>
    </row>
    <row r="26" spans="1:8" s="702" customFormat="1" ht="12.75">
      <c r="A26" s="696"/>
      <c r="D26" s="707"/>
      <c r="E26" s="707"/>
      <c r="F26" s="705"/>
      <c r="H26" s="911">
        <v>100</v>
      </c>
    </row>
    <row r="27" spans="1:8" ht="12.75">
      <c r="A27" s="719"/>
      <c r="D27" s="717"/>
      <c r="E27" s="717"/>
      <c r="H27" s="912">
        <f>H25/H26</f>
        <v>5601.4</v>
      </c>
    </row>
    <row r="28" spans="4:10" ht="12.75">
      <c r="D28" s="717"/>
      <c r="E28" s="717"/>
      <c r="J28" s="684" t="str">
        <f aca="true" t="shared" si="1" ref="J28:J91">IF(H28=0,"",F28*0.22)</f>
        <v/>
      </c>
    </row>
    <row r="29" spans="6:10" ht="12.75">
      <c r="F29" s="722">
        <f>SUM(F10:F27)</f>
        <v>0</v>
      </c>
      <c r="J29" s="684" t="str">
        <f t="shared" si="1"/>
        <v/>
      </c>
    </row>
    <row r="30" ht="12.75">
      <c r="J30" s="684" t="str">
        <f t="shared" si="1"/>
        <v/>
      </c>
    </row>
    <row r="31" spans="1:10" s="686" customFormat="1" ht="12.75">
      <c r="A31" s="720"/>
      <c r="D31" s="723"/>
      <c r="E31" s="723"/>
      <c r="F31" s="722"/>
      <c r="H31" s="684"/>
      <c r="J31" s="684" t="str">
        <f t="shared" si="1"/>
        <v/>
      </c>
    </row>
    <row r="32" spans="2:10" ht="12.75">
      <c r="B32" s="732"/>
      <c r="J32" s="684" t="str">
        <f t="shared" si="1"/>
        <v/>
      </c>
    </row>
    <row r="33" spans="1:10" s="686" customFormat="1" ht="12.75">
      <c r="A33" s="720"/>
      <c r="B33" s="684"/>
      <c r="D33" s="723"/>
      <c r="E33" s="723"/>
      <c r="F33" s="722"/>
      <c r="H33" s="684"/>
      <c r="J33" s="684" t="str">
        <f t="shared" si="1"/>
        <v/>
      </c>
    </row>
    <row r="34" ht="12.75">
      <c r="J34" s="684" t="str">
        <f t="shared" si="1"/>
        <v/>
      </c>
    </row>
    <row r="35" ht="12.75">
      <c r="J35" s="684" t="str">
        <f t="shared" si="1"/>
        <v/>
      </c>
    </row>
    <row r="36" ht="12.75">
      <c r="J36" s="684" t="str">
        <f t="shared" si="1"/>
        <v/>
      </c>
    </row>
    <row r="37" ht="12.75">
      <c r="J37" s="684" t="str">
        <f t="shared" si="1"/>
        <v/>
      </c>
    </row>
    <row r="38" ht="12.75">
      <c r="J38" s="684" t="str">
        <f t="shared" si="1"/>
        <v/>
      </c>
    </row>
    <row r="39" ht="12.75">
      <c r="J39" s="684" t="str">
        <f t="shared" si="1"/>
        <v/>
      </c>
    </row>
    <row r="40" ht="12.75">
      <c r="J40" s="684" t="str">
        <f t="shared" si="1"/>
        <v/>
      </c>
    </row>
    <row r="41" ht="12.75">
      <c r="J41" s="684" t="str">
        <f t="shared" si="1"/>
        <v/>
      </c>
    </row>
    <row r="42" ht="12.75">
      <c r="J42" s="684" t="str">
        <f t="shared" si="1"/>
        <v/>
      </c>
    </row>
    <row r="43" ht="12.75">
      <c r="J43" s="684" t="str">
        <f t="shared" si="1"/>
        <v/>
      </c>
    </row>
    <row r="44" ht="12.75">
      <c r="J44" s="684" t="str">
        <f t="shared" si="1"/>
        <v/>
      </c>
    </row>
    <row r="45" ht="12.75">
      <c r="J45" s="684" t="str">
        <f t="shared" si="1"/>
        <v/>
      </c>
    </row>
    <row r="46" ht="12.75">
      <c r="J46" s="684" t="str">
        <f t="shared" si="1"/>
        <v/>
      </c>
    </row>
    <row r="47" ht="12.75">
      <c r="J47" s="684" t="str">
        <f t="shared" si="1"/>
        <v/>
      </c>
    </row>
    <row r="48" ht="12.75">
      <c r="J48" s="684" t="str">
        <f t="shared" si="1"/>
        <v/>
      </c>
    </row>
    <row r="49" ht="12.75">
      <c r="J49" s="684" t="str">
        <f t="shared" si="1"/>
        <v/>
      </c>
    </row>
    <row r="50" ht="12.75">
      <c r="J50" s="684" t="str">
        <f t="shared" si="1"/>
        <v/>
      </c>
    </row>
    <row r="51" ht="12.75">
      <c r="J51" s="684" t="str">
        <f t="shared" si="1"/>
        <v/>
      </c>
    </row>
    <row r="52" ht="12.75">
      <c r="J52" s="684" t="str">
        <f t="shared" si="1"/>
        <v/>
      </c>
    </row>
    <row r="53" spans="1:10" s="686" customFormat="1" ht="12.75">
      <c r="A53" s="720"/>
      <c r="D53" s="723"/>
      <c r="E53" s="723"/>
      <c r="F53" s="722"/>
      <c r="H53" s="684"/>
      <c r="J53" s="684" t="str">
        <f t="shared" si="1"/>
        <v/>
      </c>
    </row>
    <row r="54" ht="12.75">
      <c r="J54" s="684" t="str">
        <f t="shared" si="1"/>
        <v/>
      </c>
    </row>
    <row r="55" spans="1:10" s="686" customFormat="1" ht="12.75">
      <c r="A55" s="720"/>
      <c r="D55" s="723"/>
      <c r="E55" s="723"/>
      <c r="F55" s="722"/>
      <c r="H55" s="684"/>
      <c r="J55" s="684" t="str">
        <f t="shared" si="1"/>
        <v/>
      </c>
    </row>
    <row r="56" ht="12.75">
      <c r="J56" s="684" t="str">
        <f t="shared" si="1"/>
        <v/>
      </c>
    </row>
    <row r="57" ht="12.75">
      <c r="J57" s="684" t="str">
        <f t="shared" si="1"/>
        <v/>
      </c>
    </row>
    <row r="58" ht="12.75">
      <c r="J58" s="684" t="str">
        <f t="shared" si="1"/>
        <v/>
      </c>
    </row>
    <row r="59" ht="12.75">
      <c r="J59" s="684" t="str">
        <f t="shared" si="1"/>
        <v/>
      </c>
    </row>
    <row r="60" ht="12.75">
      <c r="J60" s="684" t="str">
        <f t="shared" si="1"/>
        <v/>
      </c>
    </row>
    <row r="61" ht="12.75">
      <c r="J61" s="684" t="str">
        <f t="shared" si="1"/>
        <v/>
      </c>
    </row>
    <row r="62" ht="12.75">
      <c r="J62" s="684" t="str">
        <f t="shared" si="1"/>
        <v/>
      </c>
    </row>
    <row r="63" ht="12.75">
      <c r="J63" s="684" t="str">
        <f t="shared" si="1"/>
        <v/>
      </c>
    </row>
    <row r="64" ht="12.75">
      <c r="J64" s="684" t="str">
        <f t="shared" si="1"/>
        <v/>
      </c>
    </row>
    <row r="65" spans="1:10" s="686" customFormat="1" ht="12.75">
      <c r="A65" s="720"/>
      <c r="D65" s="723"/>
      <c r="E65" s="723"/>
      <c r="F65" s="722"/>
      <c r="H65" s="684"/>
      <c r="J65" s="684" t="str">
        <f t="shared" si="1"/>
        <v/>
      </c>
    </row>
    <row r="66" ht="12.75">
      <c r="J66" s="684" t="str">
        <f t="shared" si="1"/>
        <v/>
      </c>
    </row>
    <row r="67" spans="1:10" s="686" customFormat="1" ht="12.75">
      <c r="A67" s="720"/>
      <c r="D67" s="723"/>
      <c r="E67" s="723"/>
      <c r="F67" s="722"/>
      <c r="H67" s="684"/>
      <c r="J67" s="684" t="str">
        <f t="shared" si="1"/>
        <v/>
      </c>
    </row>
    <row r="68" ht="12.75">
      <c r="J68" s="684" t="str">
        <f t="shared" si="1"/>
        <v/>
      </c>
    </row>
    <row r="69" ht="12.75">
      <c r="J69" s="684" t="str">
        <f t="shared" si="1"/>
        <v/>
      </c>
    </row>
    <row r="70" spans="1:10" s="686" customFormat="1" ht="12.75">
      <c r="A70" s="720"/>
      <c r="D70" s="723"/>
      <c r="E70" s="723"/>
      <c r="F70" s="722"/>
      <c r="H70" s="684"/>
      <c r="J70" s="684" t="str">
        <f t="shared" si="1"/>
        <v/>
      </c>
    </row>
    <row r="71" ht="12.75">
      <c r="J71" s="684" t="str">
        <f t="shared" si="1"/>
        <v/>
      </c>
    </row>
    <row r="72" spans="1:10" s="686" customFormat="1" ht="12.75">
      <c r="A72" s="720"/>
      <c r="D72" s="723"/>
      <c r="E72" s="723"/>
      <c r="F72" s="722"/>
      <c r="H72" s="684"/>
      <c r="J72" s="684" t="str">
        <f t="shared" si="1"/>
        <v/>
      </c>
    </row>
    <row r="73" ht="12.75">
      <c r="J73" s="684" t="str">
        <f t="shared" si="1"/>
        <v/>
      </c>
    </row>
    <row r="74" ht="12.75">
      <c r="J74" s="684" t="str">
        <f t="shared" si="1"/>
        <v/>
      </c>
    </row>
    <row r="75" ht="12.75">
      <c r="J75" s="684" t="str">
        <f t="shared" si="1"/>
        <v/>
      </c>
    </row>
    <row r="76" spans="1:10" s="686" customFormat="1" ht="12.75">
      <c r="A76" s="720"/>
      <c r="D76" s="723"/>
      <c r="E76" s="723"/>
      <c r="F76" s="722"/>
      <c r="H76" s="684"/>
      <c r="J76" s="684" t="str">
        <f t="shared" si="1"/>
        <v/>
      </c>
    </row>
    <row r="77" ht="12.75">
      <c r="J77" s="684" t="str">
        <f t="shared" si="1"/>
        <v/>
      </c>
    </row>
    <row r="78" spans="1:10" s="686" customFormat="1" ht="12.75">
      <c r="A78" s="720"/>
      <c r="D78" s="723"/>
      <c r="E78" s="723"/>
      <c r="F78" s="722"/>
      <c r="H78" s="684"/>
      <c r="J78" s="684" t="str">
        <f t="shared" si="1"/>
        <v/>
      </c>
    </row>
    <row r="79" ht="12.75">
      <c r="J79" s="684" t="str">
        <f t="shared" si="1"/>
        <v/>
      </c>
    </row>
    <row r="80" ht="12.75">
      <c r="J80" s="684" t="str">
        <f t="shared" si="1"/>
        <v/>
      </c>
    </row>
    <row r="81" spans="1:10" s="686" customFormat="1" ht="12.75">
      <c r="A81" s="720"/>
      <c r="D81" s="723"/>
      <c r="E81" s="723"/>
      <c r="F81" s="722"/>
      <c r="H81" s="684"/>
      <c r="J81" s="684" t="str">
        <f t="shared" si="1"/>
        <v/>
      </c>
    </row>
    <row r="82" ht="12.75">
      <c r="J82" s="684" t="str">
        <f t="shared" si="1"/>
        <v/>
      </c>
    </row>
    <row r="83" spans="1:10" s="686" customFormat="1" ht="12.75">
      <c r="A83" s="720"/>
      <c r="D83" s="723"/>
      <c r="E83" s="723"/>
      <c r="F83" s="722"/>
      <c r="H83" s="684"/>
      <c r="J83" s="684" t="str">
        <f t="shared" si="1"/>
        <v/>
      </c>
    </row>
    <row r="84" ht="12.75">
      <c r="J84" s="684" t="str">
        <f t="shared" si="1"/>
        <v/>
      </c>
    </row>
    <row r="85" ht="12.75">
      <c r="J85" s="684" t="str">
        <f t="shared" si="1"/>
        <v/>
      </c>
    </row>
    <row r="86" spans="1:10" s="686" customFormat="1" ht="12.75">
      <c r="A86" s="720"/>
      <c r="D86" s="723"/>
      <c r="E86" s="723"/>
      <c r="F86" s="722"/>
      <c r="H86" s="684"/>
      <c r="J86" s="684" t="str">
        <f t="shared" si="1"/>
        <v/>
      </c>
    </row>
    <row r="87" ht="12.75">
      <c r="J87" s="684" t="str">
        <f t="shared" si="1"/>
        <v/>
      </c>
    </row>
    <row r="88" spans="1:10" s="686" customFormat="1" ht="12.75">
      <c r="A88" s="720"/>
      <c r="D88" s="723"/>
      <c r="E88" s="723"/>
      <c r="F88" s="722"/>
      <c r="H88" s="684"/>
      <c r="J88" s="684" t="str">
        <f t="shared" si="1"/>
        <v/>
      </c>
    </row>
    <row r="89" ht="12.75">
      <c r="J89" s="684" t="str">
        <f t="shared" si="1"/>
        <v/>
      </c>
    </row>
    <row r="90" ht="12.75">
      <c r="J90" s="684" t="str">
        <f t="shared" si="1"/>
        <v/>
      </c>
    </row>
    <row r="91" ht="12.75">
      <c r="J91" s="684" t="str">
        <f t="shared" si="1"/>
        <v/>
      </c>
    </row>
    <row r="92" ht="12.75">
      <c r="J92" s="684" t="str">
        <f aca="true" t="shared" si="2" ref="J92:J155">IF(H92=0,"",F92*0.22)</f>
        <v/>
      </c>
    </row>
    <row r="93" spans="1:10" s="686" customFormat="1" ht="12.75">
      <c r="A93" s="720"/>
      <c r="D93" s="723"/>
      <c r="E93" s="723"/>
      <c r="F93" s="722"/>
      <c r="H93" s="684"/>
      <c r="J93" s="684" t="str">
        <f t="shared" si="2"/>
        <v/>
      </c>
    </row>
    <row r="94" ht="12.75">
      <c r="J94" s="684" t="str">
        <f t="shared" si="2"/>
        <v/>
      </c>
    </row>
    <row r="95" spans="1:10" s="686" customFormat="1" ht="12.75">
      <c r="A95" s="720"/>
      <c r="D95" s="723"/>
      <c r="E95" s="723"/>
      <c r="F95" s="722"/>
      <c r="H95" s="684"/>
      <c r="J95" s="684" t="str">
        <f t="shared" si="2"/>
        <v/>
      </c>
    </row>
    <row r="96" ht="12.75">
      <c r="J96" s="684" t="str">
        <f t="shared" si="2"/>
        <v/>
      </c>
    </row>
    <row r="97" ht="12.75">
      <c r="J97" s="684" t="str">
        <f t="shared" si="2"/>
        <v/>
      </c>
    </row>
    <row r="98" spans="1:10" s="686" customFormat="1" ht="12.75">
      <c r="A98" s="720"/>
      <c r="D98" s="723"/>
      <c r="E98" s="723"/>
      <c r="F98" s="722"/>
      <c r="H98" s="684"/>
      <c r="J98" s="684" t="str">
        <f t="shared" si="2"/>
        <v/>
      </c>
    </row>
    <row r="99" ht="12.75">
      <c r="J99" s="684" t="str">
        <f t="shared" si="2"/>
        <v/>
      </c>
    </row>
    <row r="100" spans="1:10" s="686" customFormat="1" ht="12.75">
      <c r="A100" s="720"/>
      <c r="D100" s="723"/>
      <c r="E100" s="723"/>
      <c r="F100" s="722"/>
      <c r="H100" s="684"/>
      <c r="J100" s="684" t="str">
        <f t="shared" si="2"/>
        <v/>
      </c>
    </row>
    <row r="101" ht="12.75">
      <c r="J101" s="684" t="str">
        <f t="shared" si="2"/>
        <v/>
      </c>
    </row>
    <row r="102" ht="12.75">
      <c r="J102" s="684" t="str">
        <f t="shared" si="2"/>
        <v/>
      </c>
    </row>
    <row r="103" ht="12.75">
      <c r="J103" s="684" t="str">
        <f t="shared" si="2"/>
        <v/>
      </c>
    </row>
    <row r="104" ht="12.75">
      <c r="J104" s="684" t="str">
        <f t="shared" si="2"/>
        <v/>
      </c>
    </row>
    <row r="105" ht="12.75">
      <c r="J105" s="684" t="str">
        <f t="shared" si="2"/>
        <v/>
      </c>
    </row>
    <row r="106" ht="12.75">
      <c r="J106" s="684" t="str">
        <f t="shared" si="2"/>
        <v/>
      </c>
    </row>
    <row r="107" ht="12.75">
      <c r="J107" s="684" t="str">
        <f t="shared" si="2"/>
        <v/>
      </c>
    </row>
    <row r="108" ht="12.75">
      <c r="J108" s="684" t="str">
        <f t="shared" si="2"/>
        <v/>
      </c>
    </row>
    <row r="109" ht="12.75">
      <c r="J109" s="684" t="str">
        <f t="shared" si="2"/>
        <v/>
      </c>
    </row>
    <row r="110" ht="12.75">
      <c r="J110" s="684" t="str">
        <f t="shared" si="2"/>
        <v/>
      </c>
    </row>
    <row r="111" ht="12.75">
      <c r="J111" s="684" t="str">
        <f t="shared" si="2"/>
        <v/>
      </c>
    </row>
    <row r="112" ht="12.75">
      <c r="J112" s="684" t="str">
        <f t="shared" si="2"/>
        <v/>
      </c>
    </row>
    <row r="113" ht="12.75">
      <c r="J113" s="684" t="str">
        <f t="shared" si="2"/>
        <v/>
      </c>
    </row>
    <row r="114" ht="12.75">
      <c r="J114" s="684" t="str">
        <f t="shared" si="2"/>
        <v/>
      </c>
    </row>
    <row r="115" ht="12.75">
      <c r="J115" s="684" t="str">
        <f t="shared" si="2"/>
        <v/>
      </c>
    </row>
    <row r="116" ht="12.75">
      <c r="J116" s="684" t="str">
        <f t="shared" si="2"/>
        <v/>
      </c>
    </row>
    <row r="117" ht="12.75">
      <c r="J117" s="684" t="str">
        <f t="shared" si="2"/>
        <v/>
      </c>
    </row>
    <row r="118" ht="12.75">
      <c r="J118" s="684" t="str">
        <f t="shared" si="2"/>
        <v/>
      </c>
    </row>
    <row r="119" ht="12.75">
      <c r="J119" s="684" t="str">
        <f t="shared" si="2"/>
        <v/>
      </c>
    </row>
    <row r="120" ht="12.75">
      <c r="J120" s="684" t="str">
        <f t="shared" si="2"/>
        <v/>
      </c>
    </row>
    <row r="121" ht="12.75">
      <c r="J121" s="684" t="str">
        <f t="shared" si="2"/>
        <v/>
      </c>
    </row>
    <row r="122" ht="12.75">
      <c r="J122" s="684" t="str">
        <f t="shared" si="2"/>
        <v/>
      </c>
    </row>
    <row r="123" ht="12.75">
      <c r="J123" s="684" t="str">
        <f t="shared" si="2"/>
        <v/>
      </c>
    </row>
    <row r="124" spans="1:10" s="686" customFormat="1" ht="12.75">
      <c r="A124" s="720"/>
      <c r="D124" s="723"/>
      <c r="E124" s="723"/>
      <c r="F124" s="722"/>
      <c r="H124" s="684"/>
      <c r="J124" s="684" t="str">
        <f t="shared" si="2"/>
        <v/>
      </c>
    </row>
    <row r="125" ht="12.75">
      <c r="J125" s="684" t="str">
        <f t="shared" si="2"/>
        <v/>
      </c>
    </row>
    <row r="126" spans="1:10" s="686" customFormat="1" ht="12.75">
      <c r="A126" s="720"/>
      <c r="D126" s="723"/>
      <c r="E126" s="723"/>
      <c r="F126" s="722"/>
      <c r="H126" s="684"/>
      <c r="J126" s="684" t="str">
        <f t="shared" si="2"/>
        <v/>
      </c>
    </row>
    <row r="127" ht="12.75">
      <c r="J127" s="684" t="str">
        <f t="shared" si="2"/>
        <v/>
      </c>
    </row>
    <row r="128" ht="12.75">
      <c r="J128" s="684" t="str">
        <f t="shared" si="2"/>
        <v/>
      </c>
    </row>
    <row r="129" ht="12.75">
      <c r="J129" s="684" t="str">
        <f t="shared" si="2"/>
        <v/>
      </c>
    </row>
    <row r="130" spans="1:10" s="686" customFormat="1" ht="12.75">
      <c r="A130" s="720"/>
      <c r="D130" s="723"/>
      <c r="E130" s="723"/>
      <c r="F130" s="722"/>
      <c r="H130" s="684"/>
      <c r="J130" s="684" t="str">
        <f t="shared" si="2"/>
        <v/>
      </c>
    </row>
    <row r="131" ht="12.75">
      <c r="J131" s="684" t="str">
        <f t="shared" si="2"/>
        <v/>
      </c>
    </row>
    <row r="132" spans="1:10" s="686" customFormat="1" ht="12.75">
      <c r="A132" s="720"/>
      <c r="D132" s="723"/>
      <c r="E132" s="723"/>
      <c r="F132" s="722"/>
      <c r="H132" s="684"/>
      <c r="J132" s="684" t="str">
        <f t="shared" si="2"/>
        <v/>
      </c>
    </row>
    <row r="133" ht="12.75">
      <c r="J133" s="684" t="str">
        <f t="shared" si="2"/>
        <v/>
      </c>
    </row>
    <row r="134" ht="12.75">
      <c r="J134" s="684" t="str">
        <f t="shared" si="2"/>
        <v/>
      </c>
    </row>
    <row r="135" ht="12.75">
      <c r="J135" s="684" t="str">
        <f t="shared" si="2"/>
        <v/>
      </c>
    </row>
    <row r="136" spans="1:10" s="686" customFormat="1" ht="12.75">
      <c r="A136" s="720"/>
      <c r="D136" s="723"/>
      <c r="E136" s="723"/>
      <c r="F136" s="722"/>
      <c r="H136" s="684"/>
      <c r="J136" s="684" t="str">
        <f t="shared" si="2"/>
        <v/>
      </c>
    </row>
    <row r="137" ht="12.75">
      <c r="J137" s="684" t="str">
        <f t="shared" si="2"/>
        <v/>
      </c>
    </row>
    <row r="138" spans="1:10" s="686" customFormat="1" ht="12.75">
      <c r="A138" s="720"/>
      <c r="D138" s="723"/>
      <c r="E138" s="723"/>
      <c r="F138" s="722"/>
      <c r="H138" s="684"/>
      <c r="J138" s="684" t="str">
        <f t="shared" si="2"/>
        <v/>
      </c>
    </row>
    <row r="139" ht="12.75">
      <c r="J139" s="684" t="str">
        <f t="shared" si="2"/>
        <v/>
      </c>
    </row>
    <row r="140" ht="12.75">
      <c r="J140" s="684" t="str">
        <f t="shared" si="2"/>
        <v/>
      </c>
    </row>
    <row r="141" ht="12.75">
      <c r="J141" s="684" t="str">
        <f t="shared" si="2"/>
        <v/>
      </c>
    </row>
    <row r="142" ht="12.75">
      <c r="J142" s="684" t="str">
        <f t="shared" si="2"/>
        <v/>
      </c>
    </row>
    <row r="143" spans="1:10" s="686" customFormat="1" ht="12.75">
      <c r="A143" s="720"/>
      <c r="D143" s="723"/>
      <c r="E143" s="723"/>
      <c r="F143" s="722"/>
      <c r="H143" s="684"/>
      <c r="J143" s="684" t="str">
        <f t="shared" si="2"/>
        <v/>
      </c>
    </row>
    <row r="144" ht="12.75">
      <c r="J144" s="684" t="str">
        <f t="shared" si="2"/>
        <v/>
      </c>
    </row>
    <row r="145" spans="1:10" s="686" customFormat="1" ht="12.75">
      <c r="A145" s="720"/>
      <c r="D145" s="723"/>
      <c r="E145" s="723"/>
      <c r="F145" s="722"/>
      <c r="H145" s="684"/>
      <c r="J145" s="684" t="str">
        <f t="shared" si="2"/>
        <v/>
      </c>
    </row>
    <row r="146" ht="12.75">
      <c r="J146" s="684" t="str">
        <f t="shared" si="2"/>
        <v/>
      </c>
    </row>
    <row r="147" ht="12.75">
      <c r="J147" s="684" t="str">
        <f t="shared" si="2"/>
        <v/>
      </c>
    </row>
    <row r="148" ht="12.75">
      <c r="J148" s="684" t="str">
        <f t="shared" si="2"/>
        <v/>
      </c>
    </row>
    <row r="149" spans="1:10" s="686" customFormat="1" ht="12.75">
      <c r="A149" s="720"/>
      <c r="D149" s="723"/>
      <c r="E149" s="723"/>
      <c r="F149" s="722"/>
      <c r="H149" s="684"/>
      <c r="J149" s="684" t="str">
        <f t="shared" si="2"/>
        <v/>
      </c>
    </row>
    <row r="150" ht="12.75">
      <c r="J150" s="684" t="str">
        <f t="shared" si="2"/>
        <v/>
      </c>
    </row>
    <row r="151" spans="1:10" s="686" customFormat="1" ht="12.75">
      <c r="A151" s="720"/>
      <c r="D151" s="723"/>
      <c r="E151" s="723"/>
      <c r="F151" s="722"/>
      <c r="H151" s="684"/>
      <c r="J151" s="684" t="str">
        <f t="shared" si="2"/>
        <v/>
      </c>
    </row>
    <row r="152" ht="12.75">
      <c r="J152" s="684" t="str">
        <f t="shared" si="2"/>
        <v/>
      </c>
    </row>
    <row r="153" ht="12.75">
      <c r="J153" s="684" t="str">
        <f t="shared" si="2"/>
        <v/>
      </c>
    </row>
    <row r="154" spans="1:10" s="686" customFormat="1" ht="12.75">
      <c r="A154" s="720"/>
      <c r="D154" s="723"/>
      <c r="E154" s="723"/>
      <c r="F154" s="722"/>
      <c r="H154" s="684"/>
      <c r="J154" s="684" t="str">
        <f t="shared" si="2"/>
        <v/>
      </c>
    </row>
    <row r="155" ht="12.75">
      <c r="J155" s="684" t="str">
        <f t="shared" si="2"/>
        <v/>
      </c>
    </row>
    <row r="156" ht="12.75">
      <c r="J156" s="684" t="str">
        <f aca="true" t="shared" si="3" ref="J156:J219">IF(H156=0,"",F156*0.22)</f>
        <v/>
      </c>
    </row>
    <row r="157" ht="12.75">
      <c r="J157" s="684" t="str">
        <f t="shared" si="3"/>
        <v/>
      </c>
    </row>
    <row r="158" ht="12.75">
      <c r="J158" s="684" t="str">
        <f t="shared" si="3"/>
        <v/>
      </c>
    </row>
    <row r="159" ht="12.75">
      <c r="J159" s="684" t="str">
        <f t="shared" si="3"/>
        <v/>
      </c>
    </row>
    <row r="160" ht="12.75">
      <c r="J160" s="684" t="str">
        <f t="shared" si="3"/>
        <v/>
      </c>
    </row>
    <row r="161" ht="12.75">
      <c r="J161" s="684" t="str">
        <f t="shared" si="3"/>
        <v/>
      </c>
    </row>
    <row r="162" ht="12.75">
      <c r="J162" s="684" t="str">
        <f t="shared" si="3"/>
        <v/>
      </c>
    </row>
    <row r="163" ht="12.75">
      <c r="J163" s="684" t="str">
        <f t="shared" si="3"/>
        <v/>
      </c>
    </row>
    <row r="164" ht="12.75">
      <c r="J164" s="684" t="str">
        <f t="shared" si="3"/>
        <v/>
      </c>
    </row>
    <row r="165" ht="12.75">
      <c r="J165" s="684" t="str">
        <f t="shared" si="3"/>
        <v/>
      </c>
    </row>
    <row r="166" ht="12.75">
      <c r="J166" s="684" t="str">
        <f t="shared" si="3"/>
        <v/>
      </c>
    </row>
    <row r="167" ht="12.75">
      <c r="J167" s="684" t="str">
        <f t="shared" si="3"/>
        <v/>
      </c>
    </row>
    <row r="168" ht="12.75">
      <c r="J168" s="684" t="str">
        <f t="shared" si="3"/>
        <v/>
      </c>
    </row>
    <row r="169" ht="12.75">
      <c r="J169" s="684" t="str">
        <f t="shared" si="3"/>
        <v/>
      </c>
    </row>
    <row r="170" ht="12.75">
      <c r="J170" s="684" t="str">
        <f t="shared" si="3"/>
        <v/>
      </c>
    </row>
    <row r="171" ht="12.75">
      <c r="J171" s="684" t="str">
        <f t="shared" si="3"/>
        <v/>
      </c>
    </row>
    <row r="172" ht="12.75">
      <c r="J172" s="684" t="str">
        <f t="shared" si="3"/>
        <v/>
      </c>
    </row>
    <row r="173" ht="12.75">
      <c r="J173" s="684" t="str">
        <f t="shared" si="3"/>
        <v/>
      </c>
    </row>
    <row r="174" ht="12.75">
      <c r="J174" s="684" t="str">
        <f t="shared" si="3"/>
        <v/>
      </c>
    </row>
    <row r="175" ht="12.75">
      <c r="J175" s="684" t="str">
        <f t="shared" si="3"/>
        <v/>
      </c>
    </row>
    <row r="176" ht="12.75">
      <c r="J176" s="684" t="str">
        <f t="shared" si="3"/>
        <v/>
      </c>
    </row>
    <row r="177" ht="12.75">
      <c r="J177" s="684" t="str">
        <f t="shared" si="3"/>
        <v/>
      </c>
    </row>
    <row r="178" ht="12.75">
      <c r="J178" s="684" t="str">
        <f t="shared" si="3"/>
        <v/>
      </c>
    </row>
    <row r="179" ht="12.75">
      <c r="J179" s="684" t="str">
        <f t="shared" si="3"/>
        <v/>
      </c>
    </row>
    <row r="180" ht="12.75">
      <c r="J180" s="684" t="str">
        <f t="shared" si="3"/>
        <v/>
      </c>
    </row>
    <row r="181" ht="12.75">
      <c r="J181" s="684" t="str">
        <f t="shared" si="3"/>
        <v/>
      </c>
    </row>
    <row r="182" ht="12.75">
      <c r="J182" s="684" t="str">
        <f t="shared" si="3"/>
        <v/>
      </c>
    </row>
    <row r="183" ht="12.75">
      <c r="J183" s="684" t="str">
        <f t="shared" si="3"/>
        <v/>
      </c>
    </row>
    <row r="184" ht="12.75">
      <c r="J184" s="684" t="str">
        <f t="shared" si="3"/>
        <v/>
      </c>
    </row>
    <row r="185" ht="12.75">
      <c r="J185" s="684" t="str">
        <f t="shared" si="3"/>
        <v/>
      </c>
    </row>
    <row r="186" ht="12.75">
      <c r="J186" s="684" t="str">
        <f t="shared" si="3"/>
        <v/>
      </c>
    </row>
    <row r="187" ht="12.75">
      <c r="J187" s="684" t="str">
        <f t="shared" si="3"/>
        <v/>
      </c>
    </row>
    <row r="188" ht="12.75">
      <c r="J188" s="684" t="str">
        <f t="shared" si="3"/>
        <v/>
      </c>
    </row>
    <row r="189" ht="12.75">
      <c r="J189" s="684" t="str">
        <f t="shared" si="3"/>
        <v/>
      </c>
    </row>
    <row r="190" ht="12.75">
      <c r="J190" s="684" t="str">
        <f t="shared" si="3"/>
        <v/>
      </c>
    </row>
    <row r="191" ht="12.75">
      <c r="J191" s="684" t="str">
        <f t="shared" si="3"/>
        <v/>
      </c>
    </row>
    <row r="192" ht="12.75">
      <c r="J192" s="684" t="str">
        <f t="shared" si="3"/>
        <v/>
      </c>
    </row>
    <row r="193" ht="12.75">
      <c r="J193" s="684" t="str">
        <f t="shared" si="3"/>
        <v/>
      </c>
    </row>
    <row r="194" ht="12.75">
      <c r="J194" s="684" t="str">
        <f t="shared" si="3"/>
        <v/>
      </c>
    </row>
    <row r="195" ht="12.75">
      <c r="J195" s="684" t="str">
        <f t="shared" si="3"/>
        <v/>
      </c>
    </row>
    <row r="196" ht="12.75">
      <c r="J196" s="684" t="str">
        <f t="shared" si="3"/>
        <v/>
      </c>
    </row>
    <row r="197" ht="12.75">
      <c r="J197" s="684" t="str">
        <f t="shared" si="3"/>
        <v/>
      </c>
    </row>
    <row r="198" ht="12.75">
      <c r="J198" s="684" t="str">
        <f t="shared" si="3"/>
        <v/>
      </c>
    </row>
    <row r="199" ht="12.75">
      <c r="J199" s="684" t="str">
        <f t="shared" si="3"/>
        <v/>
      </c>
    </row>
    <row r="200" ht="12.75">
      <c r="J200" s="684" t="str">
        <f t="shared" si="3"/>
        <v/>
      </c>
    </row>
    <row r="201" ht="12.75">
      <c r="J201" s="684" t="str">
        <f t="shared" si="3"/>
        <v/>
      </c>
    </row>
    <row r="202" ht="12.75">
      <c r="J202" s="684" t="str">
        <f t="shared" si="3"/>
        <v/>
      </c>
    </row>
    <row r="203" ht="12.75">
      <c r="J203" s="684" t="str">
        <f t="shared" si="3"/>
        <v/>
      </c>
    </row>
    <row r="204" ht="12.75">
      <c r="J204" s="684" t="str">
        <f t="shared" si="3"/>
        <v/>
      </c>
    </row>
    <row r="205" ht="12.75">
      <c r="J205" s="684" t="str">
        <f t="shared" si="3"/>
        <v/>
      </c>
    </row>
    <row r="206" ht="12.75">
      <c r="J206" s="684" t="str">
        <f t="shared" si="3"/>
        <v/>
      </c>
    </row>
    <row r="207" ht="12.75">
      <c r="J207" s="684" t="str">
        <f t="shared" si="3"/>
        <v/>
      </c>
    </row>
    <row r="208" ht="12.75">
      <c r="J208" s="684" t="str">
        <f t="shared" si="3"/>
        <v/>
      </c>
    </row>
    <row r="209" ht="12.75">
      <c r="J209" s="684" t="str">
        <f t="shared" si="3"/>
        <v/>
      </c>
    </row>
    <row r="210" ht="12.75">
      <c r="J210" s="684" t="str">
        <f t="shared" si="3"/>
        <v/>
      </c>
    </row>
    <row r="211" ht="12.75">
      <c r="J211" s="684" t="str">
        <f t="shared" si="3"/>
        <v/>
      </c>
    </row>
    <row r="212" ht="12.75">
      <c r="J212" s="684" t="str">
        <f t="shared" si="3"/>
        <v/>
      </c>
    </row>
    <row r="213" ht="12.75">
      <c r="J213" s="684" t="str">
        <f t="shared" si="3"/>
        <v/>
      </c>
    </row>
    <row r="214" ht="12.75">
      <c r="J214" s="684" t="str">
        <f t="shared" si="3"/>
        <v/>
      </c>
    </row>
    <row r="215" ht="12.75">
      <c r="J215" s="684" t="str">
        <f t="shared" si="3"/>
        <v/>
      </c>
    </row>
    <row r="216" ht="12.75">
      <c r="J216" s="684" t="str">
        <f t="shared" si="3"/>
        <v/>
      </c>
    </row>
    <row r="217" ht="12.75">
      <c r="J217" s="684" t="str">
        <f t="shared" si="3"/>
        <v/>
      </c>
    </row>
    <row r="218" ht="12.75">
      <c r="J218" s="684" t="str">
        <f t="shared" si="3"/>
        <v/>
      </c>
    </row>
    <row r="219" ht="12.75">
      <c r="J219" s="684" t="str">
        <f t="shared" si="3"/>
        <v/>
      </c>
    </row>
    <row r="220" ht="12.75">
      <c r="J220" s="684" t="str">
        <f aca="true" t="shared" si="4" ref="J220:J283">IF(H220=0,"",F220*0.22)</f>
        <v/>
      </c>
    </row>
    <row r="221" ht="12.75">
      <c r="J221" s="684" t="str">
        <f t="shared" si="4"/>
        <v/>
      </c>
    </row>
    <row r="222" ht="12.75">
      <c r="J222" s="684" t="str">
        <f t="shared" si="4"/>
        <v/>
      </c>
    </row>
    <row r="223" ht="12.75">
      <c r="J223" s="684" t="str">
        <f t="shared" si="4"/>
        <v/>
      </c>
    </row>
    <row r="224" ht="12.75">
      <c r="J224" s="684" t="str">
        <f t="shared" si="4"/>
        <v/>
      </c>
    </row>
    <row r="225" ht="12.75">
      <c r="J225" s="684" t="str">
        <f t="shared" si="4"/>
        <v/>
      </c>
    </row>
    <row r="226" ht="12.75">
      <c r="J226" s="684" t="str">
        <f t="shared" si="4"/>
        <v/>
      </c>
    </row>
    <row r="227" ht="12.75">
      <c r="J227" s="684" t="str">
        <f t="shared" si="4"/>
        <v/>
      </c>
    </row>
    <row r="228" ht="12.75">
      <c r="J228" s="684" t="str">
        <f t="shared" si="4"/>
        <v/>
      </c>
    </row>
    <row r="229" ht="12.75">
      <c r="J229" s="684" t="str">
        <f t="shared" si="4"/>
        <v/>
      </c>
    </row>
    <row r="230" ht="12.75">
      <c r="J230" s="684" t="str">
        <f t="shared" si="4"/>
        <v/>
      </c>
    </row>
    <row r="231" ht="12.75">
      <c r="J231" s="684" t="str">
        <f t="shared" si="4"/>
        <v/>
      </c>
    </row>
    <row r="232" ht="12.75">
      <c r="J232" s="684" t="str">
        <f t="shared" si="4"/>
        <v/>
      </c>
    </row>
    <row r="233" ht="12.75">
      <c r="J233" s="684" t="str">
        <f t="shared" si="4"/>
        <v/>
      </c>
    </row>
    <row r="234" ht="12.75">
      <c r="J234" s="684" t="str">
        <f t="shared" si="4"/>
        <v/>
      </c>
    </row>
    <row r="235" ht="12.75">
      <c r="J235" s="684" t="str">
        <f t="shared" si="4"/>
        <v/>
      </c>
    </row>
    <row r="236" ht="12.75">
      <c r="J236" s="684" t="str">
        <f t="shared" si="4"/>
        <v/>
      </c>
    </row>
    <row r="237" ht="12.75">
      <c r="J237" s="684" t="str">
        <f t="shared" si="4"/>
        <v/>
      </c>
    </row>
    <row r="238" ht="12.75">
      <c r="J238" s="684" t="str">
        <f t="shared" si="4"/>
        <v/>
      </c>
    </row>
    <row r="239" ht="12.75">
      <c r="J239" s="684" t="str">
        <f t="shared" si="4"/>
        <v/>
      </c>
    </row>
    <row r="240" ht="12.75">
      <c r="J240" s="684" t="str">
        <f t="shared" si="4"/>
        <v/>
      </c>
    </row>
    <row r="241" ht="12.75">
      <c r="J241" s="684" t="str">
        <f t="shared" si="4"/>
        <v/>
      </c>
    </row>
    <row r="242" ht="12.75">
      <c r="J242" s="684" t="str">
        <f t="shared" si="4"/>
        <v/>
      </c>
    </row>
    <row r="243" ht="12.75">
      <c r="J243" s="684" t="str">
        <f t="shared" si="4"/>
        <v/>
      </c>
    </row>
    <row r="244" ht="12.75">
      <c r="J244" s="684" t="str">
        <f t="shared" si="4"/>
        <v/>
      </c>
    </row>
    <row r="245" ht="12.75">
      <c r="J245" s="684" t="str">
        <f t="shared" si="4"/>
        <v/>
      </c>
    </row>
    <row r="246" ht="12.75">
      <c r="J246" s="684" t="str">
        <f t="shared" si="4"/>
        <v/>
      </c>
    </row>
    <row r="247" ht="12.75">
      <c r="J247" s="684" t="str">
        <f t="shared" si="4"/>
        <v/>
      </c>
    </row>
    <row r="248" ht="12.75">
      <c r="J248" s="684" t="str">
        <f t="shared" si="4"/>
        <v/>
      </c>
    </row>
    <row r="249" ht="12.75">
      <c r="J249" s="684" t="str">
        <f t="shared" si="4"/>
        <v/>
      </c>
    </row>
    <row r="250" ht="12.75">
      <c r="J250" s="684" t="str">
        <f t="shared" si="4"/>
        <v/>
      </c>
    </row>
    <row r="251" ht="12.75">
      <c r="J251" s="684" t="str">
        <f t="shared" si="4"/>
        <v/>
      </c>
    </row>
    <row r="252" ht="12.75">
      <c r="J252" s="684" t="str">
        <f t="shared" si="4"/>
        <v/>
      </c>
    </row>
    <row r="253" ht="12.75">
      <c r="J253" s="684" t="str">
        <f t="shared" si="4"/>
        <v/>
      </c>
    </row>
    <row r="254" ht="12.75">
      <c r="J254" s="684" t="str">
        <f t="shared" si="4"/>
        <v/>
      </c>
    </row>
    <row r="255" ht="12.75">
      <c r="J255" s="684" t="str">
        <f t="shared" si="4"/>
        <v/>
      </c>
    </row>
    <row r="256" ht="12.75">
      <c r="J256" s="684" t="str">
        <f t="shared" si="4"/>
        <v/>
      </c>
    </row>
    <row r="257" ht="12.75">
      <c r="J257" s="684" t="str">
        <f t="shared" si="4"/>
        <v/>
      </c>
    </row>
    <row r="258" ht="12.75">
      <c r="J258" s="684" t="str">
        <f t="shared" si="4"/>
        <v/>
      </c>
    </row>
    <row r="259" ht="12.75">
      <c r="J259" s="684" t="str">
        <f t="shared" si="4"/>
        <v/>
      </c>
    </row>
    <row r="260" ht="12.75">
      <c r="J260" s="684" t="str">
        <f t="shared" si="4"/>
        <v/>
      </c>
    </row>
    <row r="261" ht="12.75">
      <c r="J261" s="684" t="str">
        <f t="shared" si="4"/>
        <v/>
      </c>
    </row>
    <row r="262" ht="12.75">
      <c r="J262" s="684" t="str">
        <f t="shared" si="4"/>
        <v/>
      </c>
    </row>
    <row r="263" ht="12.75">
      <c r="J263" s="684" t="str">
        <f t="shared" si="4"/>
        <v/>
      </c>
    </row>
    <row r="264" ht="12.75">
      <c r="J264" s="684" t="str">
        <f t="shared" si="4"/>
        <v/>
      </c>
    </row>
    <row r="265" ht="12.75">
      <c r="J265" s="684" t="str">
        <f t="shared" si="4"/>
        <v/>
      </c>
    </row>
    <row r="266" ht="12.75">
      <c r="J266" s="684" t="str">
        <f t="shared" si="4"/>
        <v/>
      </c>
    </row>
    <row r="267" ht="12.75">
      <c r="J267" s="684" t="str">
        <f t="shared" si="4"/>
        <v/>
      </c>
    </row>
    <row r="268" ht="12.75">
      <c r="J268" s="684" t="str">
        <f t="shared" si="4"/>
        <v/>
      </c>
    </row>
    <row r="269" ht="12.75">
      <c r="J269" s="684" t="str">
        <f t="shared" si="4"/>
        <v/>
      </c>
    </row>
    <row r="270" ht="12.75">
      <c r="J270" s="684" t="str">
        <f t="shared" si="4"/>
        <v/>
      </c>
    </row>
    <row r="271" ht="12.75">
      <c r="J271" s="684" t="str">
        <f t="shared" si="4"/>
        <v/>
      </c>
    </row>
    <row r="272" ht="12.75">
      <c r="J272" s="684" t="str">
        <f t="shared" si="4"/>
        <v/>
      </c>
    </row>
    <row r="273" ht="12.75">
      <c r="J273" s="684" t="str">
        <f t="shared" si="4"/>
        <v/>
      </c>
    </row>
    <row r="274" ht="12.75">
      <c r="J274" s="684" t="str">
        <f t="shared" si="4"/>
        <v/>
      </c>
    </row>
    <row r="275" ht="12.75">
      <c r="J275" s="684" t="str">
        <f t="shared" si="4"/>
        <v/>
      </c>
    </row>
    <row r="276" ht="12.75">
      <c r="J276" s="684" t="str">
        <f t="shared" si="4"/>
        <v/>
      </c>
    </row>
    <row r="277" ht="12.75">
      <c r="J277" s="684" t="str">
        <f t="shared" si="4"/>
        <v/>
      </c>
    </row>
    <row r="278" ht="12.75">
      <c r="J278" s="684" t="str">
        <f t="shared" si="4"/>
        <v/>
      </c>
    </row>
    <row r="279" ht="12.75">
      <c r="J279" s="684" t="str">
        <f t="shared" si="4"/>
        <v/>
      </c>
    </row>
    <row r="280" ht="12.75">
      <c r="J280" s="684" t="str">
        <f t="shared" si="4"/>
        <v/>
      </c>
    </row>
    <row r="281" ht="12.75">
      <c r="J281" s="684" t="str">
        <f t="shared" si="4"/>
        <v/>
      </c>
    </row>
    <row r="282" ht="12.75">
      <c r="J282" s="684" t="str">
        <f t="shared" si="4"/>
        <v/>
      </c>
    </row>
    <row r="283" ht="12.75">
      <c r="J283" s="684" t="str">
        <f t="shared" si="4"/>
        <v/>
      </c>
    </row>
    <row r="284" ht="12.75">
      <c r="J284" s="684" t="str">
        <f aca="true" t="shared" si="5" ref="J284:J314">IF(H284=0,"",F284*0.22)</f>
        <v/>
      </c>
    </row>
    <row r="285" ht="12.75">
      <c r="J285" s="684" t="str">
        <f t="shared" si="5"/>
        <v/>
      </c>
    </row>
    <row r="286" ht="12.75">
      <c r="J286" s="684" t="str">
        <f t="shared" si="5"/>
        <v/>
      </c>
    </row>
    <row r="287" ht="12.75">
      <c r="J287" s="684" t="str">
        <f t="shared" si="5"/>
        <v/>
      </c>
    </row>
    <row r="288" ht="12.75">
      <c r="J288" s="684" t="str">
        <f t="shared" si="5"/>
        <v/>
      </c>
    </row>
    <row r="289" ht="12.75">
      <c r="J289" s="684" t="str">
        <f t="shared" si="5"/>
        <v/>
      </c>
    </row>
    <row r="290" ht="12.75">
      <c r="J290" s="684" t="str">
        <f t="shared" si="5"/>
        <v/>
      </c>
    </row>
    <row r="291" ht="12.75">
      <c r="J291" s="684" t="str">
        <f t="shared" si="5"/>
        <v/>
      </c>
    </row>
    <row r="292" ht="12.75">
      <c r="J292" s="684" t="str">
        <f t="shared" si="5"/>
        <v/>
      </c>
    </row>
    <row r="293" ht="12.75">
      <c r="J293" s="684" t="str">
        <f t="shared" si="5"/>
        <v/>
      </c>
    </row>
    <row r="294" ht="12.75">
      <c r="J294" s="684" t="str">
        <f t="shared" si="5"/>
        <v/>
      </c>
    </row>
    <row r="295" ht="12.75">
      <c r="J295" s="684" t="str">
        <f t="shared" si="5"/>
        <v/>
      </c>
    </row>
    <row r="296" ht="12.75">
      <c r="J296" s="684" t="str">
        <f t="shared" si="5"/>
        <v/>
      </c>
    </row>
    <row r="297" ht="12.75">
      <c r="J297" s="684" t="str">
        <f t="shared" si="5"/>
        <v/>
      </c>
    </row>
    <row r="298" ht="12.75">
      <c r="J298" s="684" t="str">
        <f t="shared" si="5"/>
        <v/>
      </c>
    </row>
    <row r="299" ht="12.75">
      <c r="J299" s="684" t="str">
        <f t="shared" si="5"/>
        <v/>
      </c>
    </row>
    <row r="300" ht="12.75">
      <c r="J300" s="684" t="str">
        <f t="shared" si="5"/>
        <v/>
      </c>
    </row>
    <row r="301" ht="12.75">
      <c r="J301" s="684" t="str">
        <f t="shared" si="5"/>
        <v/>
      </c>
    </row>
    <row r="302" ht="12.75">
      <c r="J302" s="684" t="str">
        <f t="shared" si="5"/>
        <v/>
      </c>
    </row>
    <row r="303" ht="12.75">
      <c r="J303" s="684" t="str">
        <f t="shared" si="5"/>
        <v/>
      </c>
    </row>
    <row r="304" ht="12.75">
      <c r="J304" s="684" t="str">
        <f t="shared" si="5"/>
        <v/>
      </c>
    </row>
    <row r="305" ht="12.75">
      <c r="J305" s="684" t="str">
        <f t="shared" si="5"/>
        <v/>
      </c>
    </row>
    <row r="306" ht="12.75">
      <c r="J306" s="684" t="str">
        <f t="shared" si="5"/>
        <v/>
      </c>
    </row>
    <row r="307" ht="12.75">
      <c r="J307" s="684" t="str">
        <f t="shared" si="5"/>
        <v/>
      </c>
    </row>
    <row r="308" ht="12.75">
      <c r="J308" s="684" t="str">
        <f t="shared" si="5"/>
        <v/>
      </c>
    </row>
    <row r="309" ht="12.75">
      <c r="J309" s="684" t="str">
        <f t="shared" si="5"/>
        <v/>
      </c>
    </row>
    <row r="310" ht="12.75">
      <c r="J310" s="684" t="str">
        <f t="shared" si="5"/>
        <v/>
      </c>
    </row>
    <row r="311" ht="12.75">
      <c r="J311" s="684" t="str">
        <f t="shared" si="5"/>
        <v/>
      </c>
    </row>
    <row r="312" ht="12.75">
      <c r="J312" s="684" t="str">
        <f t="shared" si="5"/>
        <v/>
      </c>
    </row>
    <row r="313" ht="12.75">
      <c r="J313" s="684" t="str">
        <f t="shared" si="5"/>
        <v/>
      </c>
    </row>
    <row r="314" ht="12.75">
      <c r="J314" s="684" t="str">
        <f t="shared" si="5"/>
        <v/>
      </c>
    </row>
  </sheetData>
  <printOptions/>
  <pageMargins left="0.59" right="0.39" top="0.984251968503937" bottom="0.984251968503937" header="0.5118110236220472" footer="0.61"/>
  <pageSetup horizontalDpi="300" verticalDpi="300" orientation="portrait" paperSize="9" r:id="rId1"/>
  <headerFooter alignWithMargins="0">
    <oddFooter>&amp;C&amp;"Times New Roman,Obyčejné"&amp;9Stránka &amp;P z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/>
  </sheetPr>
  <dimension ref="A1:J320"/>
  <sheetViews>
    <sheetView workbookViewId="0" topLeftCell="A1"/>
  </sheetViews>
  <sheetFormatPr defaultColWidth="14.375" defaultRowHeight="12.75"/>
  <cols>
    <col min="1" max="1" width="10.50390625" style="682" customWidth="1"/>
    <col min="2" max="2" width="39.50390625" style="684" customWidth="1"/>
    <col min="3" max="3" width="5.375" style="684" customWidth="1"/>
    <col min="4" max="4" width="8.375" style="685" customWidth="1"/>
    <col min="5" max="5" width="11.50390625" style="685" customWidth="1"/>
    <col min="6" max="6" width="12.00390625" style="718" customWidth="1"/>
    <col min="7" max="256" width="14.375" style="684" customWidth="1"/>
    <col min="257" max="257" width="10.50390625" style="684" customWidth="1"/>
    <col min="258" max="258" width="39.50390625" style="684" customWidth="1"/>
    <col min="259" max="259" width="5.375" style="684" customWidth="1"/>
    <col min="260" max="260" width="8.375" style="684" customWidth="1"/>
    <col min="261" max="261" width="11.50390625" style="684" customWidth="1"/>
    <col min="262" max="262" width="12.00390625" style="684" customWidth="1"/>
    <col min="263" max="512" width="14.375" style="684" customWidth="1"/>
    <col min="513" max="513" width="10.50390625" style="684" customWidth="1"/>
    <col min="514" max="514" width="39.50390625" style="684" customWidth="1"/>
    <col min="515" max="515" width="5.375" style="684" customWidth="1"/>
    <col min="516" max="516" width="8.375" style="684" customWidth="1"/>
    <col min="517" max="517" width="11.50390625" style="684" customWidth="1"/>
    <col min="518" max="518" width="12.00390625" style="684" customWidth="1"/>
    <col min="519" max="768" width="14.375" style="684" customWidth="1"/>
    <col min="769" max="769" width="10.50390625" style="684" customWidth="1"/>
    <col min="770" max="770" width="39.50390625" style="684" customWidth="1"/>
    <col min="771" max="771" width="5.375" style="684" customWidth="1"/>
    <col min="772" max="772" width="8.375" style="684" customWidth="1"/>
    <col min="773" max="773" width="11.50390625" style="684" customWidth="1"/>
    <col min="774" max="774" width="12.00390625" style="684" customWidth="1"/>
    <col min="775" max="1024" width="14.375" style="684" customWidth="1"/>
    <col min="1025" max="1025" width="10.50390625" style="684" customWidth="1"/>
    <col min="1026" max="1026" width="39.50390625" style="684" customWidth="1"/>
    <col min="1027" max="1027" width="5.375" style="684" customWidth="1"/>
    <col min="1028" max="1028" width="8.375" style="684" customWidth="1"/>
    <col min="1029" max="1029" width="11.50390625" style="684" customWidth="1"/>
    <col min="1030" max="1030" width="12.00390625" style="684" customWidth="1"/>
    <col min="1031" max="1280" width="14.375" style="684" customWidth="1"/>
    <col min="1281" max="1281" width="10.50390625" style="684" customWidth="1"/>
    <col min="1282" max="1282" width="39.50390625" style="684" customWidth="1"/>
    <col min="1283" max="1283" width="5.375" style="684" customWidth="1"/>
    <col min="1284" max="1284" width="8.375" style="684" customWidth="1"/>
    <col min="1285" max="1285" width="11.50390625" style="684" customWidth="1"/>
    <col min="1286" max="1286" width="12.00390625" style="684" customWidth="1"/>
    <col min="1287" max="1536" width="14.375" style="684" customWidth="1"/>
    <col min="1537" max="1537" width="10.50390625" style="684" customWidth="1"/>
    <col min="1538" max="1538" width="39.50390625" style="684" customWidth="1"/>
    <col min="1539" max="1539" width="5.375" style="684" customWidth="1"/>
    <col min="1540" max="1540" width="8.375" style="684" customWidth="1"/>
    <col min="1541" max="1541" width="11.50390625" style="684" customWidth="1"/>
    <col min="1542" max="1542" width="12.00390625" style="684" customWidth="1"/>
    <col min="1543" max="1792" width="14.375" style="684" customWidth="1"/>
    <col min="1793" max="1793" width="10.50390625" style="684" customWidth="1"/>
    <col min="1794" max="1794" width="39.50390625" style="684" customWidth="1"/>
    <col min="1795" max="1795" width="5.375" style="684" customWidth="1"/>
    <col min="1796" max="1796" width="8.375" style="684" customWidth="1"/>
    <col min="1797" max="1797" width="11.50390625" style="684" customWidth="1"/>
    <col min="1798" max="1798" width="12.00390625" style="684" customWidth="1"/>
    <col min="1799" max="2048" width="14.375" style="684" customWidth="1"/>
    <col min="2049" max="2049" width="10.50390625" style="684" customWidth="1"/>
    <col min="2050" max="2050" width="39.50390625" style="684" customWidth="1"/>
    <col min="2051" max="2051" width="5.375" style="684" customWidth="1"/>
    <col min="2052" max="2052" width="8.375" style="684" customWidth="1"/>
    <col min="2053" max="2053" width="11.50390625" style="684" customWidth="1"/>
    <col min="2054" max="2054" width="12.00390625" style="684" customWidth="1"/>
    <col min="2055" max="2304" width="14.375" style="684" customWidth="1"/>
    <col min="2305" max="2305" width="10.50390625" style="684" customWidth="1"/>
    <col min="2306" max="2306" width="39.50390625" style="684" customWidth="1"/>
    <col min="2307" max="2307" width="5.375" style="684" customWidth="1"/>
    <col min="2308" max="2308" width="8.375" style="684" customWidth="1"/>
    <col min="2309" max="2309" width="11.50390625" style="684" customWidth="1"/>
    <col min="2310" max="2310" width="12.00390625" style="684" customWidth="1"/>
    <col min="2311" max="2560" width="14.375" style="684" customWidth="1"/>
    <col min="2561" max="2561" width="10.50390625" style="684" customWidth="1"/>
    <col min="2562" max="2562" width="39.50390625" style="684" customWidth="1"/>
    <col min="2563" max="2563" width="5.375" style="684" customWidth="1"/>
    <col min="2564" max="2564" width="8.375" style="684" customWidth="1"/>
    <col min="2565" max="2565" width="11.50390625" style="684" customWidth="1"/>
    <col min="2566" max="2566" width="12.00390625" style="684" customWidth="1"/>
    <col min="2567" max="2816" width="14.375" style="684" customWidth="1"/>
    <col min="2817" max="2817" width="10.50390625" style="684" customWidth="1"/>
    <col min="2818" max="2818" width="39.50390625" style="684" customWidth="1"/>
    <col min="2819" max="2819" width="5.375" style="684" customWidth="1"/>
    <col min="2820" max="2820" width="8.375" style="684" customWidth="1"/>
    <col min="2821" max="2821" width="11.50390625" style="684" customWidth="1"/>
    <col min="2822" max="2822" width="12.00390625" style="684" customWidth="1"/>
    <col min="2823" max="3072" width="14.375" style="684" customWidth="1"/>
    <col min="3073" max="3073" width="10.50390625" style="684" customWidth="1"/>
    <col min="3074" max="3074" width="39.50390625" style="684" customWidth="1"/>
    <col min="3075" max="3075" width="5.375" style="684" customWidth="1"/>
    <col min="3076" max="3076" width="8.375" style="684" customWidth="1"/>
    <col min="3077" max="3077" width="11.50390625" style="684" customWidth="1"/>
    <col min="3078" max="3078" width="12.00390625" style="684" customWidth="1"/>
    <col min="3079" max="3328" width="14.375" style="684" customWidth="1"/>
    <col min="3329" max="3329" width="10.50390625" style="684" customWidth="1"/>
    <col min="3330" max="3330" width="39.50390625" style="684" customWidth="1"/>
    <col min="3331" max="3331" width="5.375" style="684" customWidth="1"/>
    <col min="3332" max="3332" width="8.375" style="684" customWidth="1"/>
    <col min="3333" max="3333" width="11.50390625" style="684" customWidth="1"/>
    <col min="3334" max="3334" width="12.00390625" style="684" customWidth="1"/>
    <col min="3335" max="3584" width="14.375" style="684" customWidth="1"/>
    <col min="3585" max="3585" width="10.50390625" style="684" customWidth="1"/>
    <col min="3586" max="3586" width="39.50390625" style="684" customWidth="1"/>
    <col min="3587" max="3587" width="5.375" style="684" customWidth="1"/>
    <col min="3588" max="3588" width="8.375" style="684" customWidth="1"/>
    <col min="3589" max="3589" width="11.50390625" style="684" customWidth="1"/>
    <col min="3590" max="3590" width="12.00390625" style="684" customWidth="1"/>
    <col min="3591" max="3840" width="14.375" style="684" customWidth="1"/>
    <col min="3841" max="3841" width="10.50390625" style="684" customWidth="1"/>
    <col min="3842" max="3842" width="39.50390625" style="684" customWidth="1"/>
    <col min="3843" max="3843" width="5.375" style="684" customWidth="1"/>
    <col min="3844" max="3844" width="8.375" style="684" customWidth="1"/>
    <col min="3845" max="3845" width="11.50390625" style="684" customWidth="1"/>
    <col min="3846" max="3846" width="12.00390625" style="684" customWidth="1"/>
    <col min="3847" max="4096" width="14.375" style="684" customWidth="1"/>
    <col min="4097" max="4097" width="10.50390625" style="684" customWidth="1"/>
    <col min="4098" max="4098" width="39.50390625" style="684" customWidth="1"/>
    <col min="4099" max="4099" width="5.375" style="684" customWidth="1"/>
    <col min="4100" max="4100" width="8.375" style="684" customWidth="1"/>
    <col min="4101" max="4101" width="11.50390625" style="684" customWidth="1"/>
    <col min="4102" max="4102" width="12.00390625" style="684" customWidth="1"/>
    <col min="4103" max="4352" width="14.375" style="684" customWidth="1"/>
    <col min="4353" max="4353" width="10.50390625" style="684" customWidth="1"/>
    <col min="4354" max="4354" width="39.50390625" style="684" customWidth="1"/>
    <col min="4355" max="4355" width="5.375" style="684" customWidth="1"/>
    <col min="4356" max="4356" width="8.375" style="684" customWidth="1"/>
    <col min="4357" max="4357" width="11.50390625" style="684" customWidth="1"/>
    <col min="4358" max="4358" width="12.00390625" style="684" customWidth="1"/>
    <col min="4359" max="4608" width="14.375" style="684" customWidth="1"/>
    <col min="4609" max="4609" width="10.50390625" style="684" customWidth="1"/>
    <col min="4610" max="4610" width="39.50390625" style="684" customWidth="1"/>
    <col min="4611" max="4611" width="5.375" style="684" customWidth="1"/>
    <col min="4612" max="4612" width="8.375" style="684" customWidth="1"/>
    <col min="4613" max="4613" width="11.50390625" style="684" customWidth="1"/>
    <col min="4614" max="4614" width="12.00390625" style="684" customWidth="1"/>
    <col min="4615" max="4864" width="14.375" style="684" customWidth="1"/>
    <col min="4865" max="4865" width="10.50390625" style="684" customWidth="1"/>
    <col min="4866" max="4866" width="39.50390625" style="684" customWidth="1"/>
    <col min="4867" max="4867" width="5.375" style="684" customWidth="1"/>
    <col min="4868" max="4868" width="8.375" style="684" customWidth="1"/>
    <col min="4869" max="4869" width="11.50390625" style="684" customWidth="1"/>
    <col min="4870" max="4870" width="12.00390625" style="684" customWidth="1"/>
    <col min="4871" max="5120" width="14.375" style="684" customWidth="1"/>
    <col min="5121" max="5121" width="10.50390625" style="684" customWidth="1"/>
    <col min="5122" max="5122" width="39.50390625" style="684" customWidth="1"/>
    <col min="5123" max="5123" width="5.375" style="684" customWidth="1"/>
    <col min="5124" max="5124" width="8.375" style="684" customWidth="1"/>
    <col min="5125" max="5125" width="11.50390625" style="684" customWidth="1"/>
    <col min="5126" max="5126" width="12.00390625" style="684" customWidth="1"/>
    <col min="5127" max="5376" width="14.375" style="684" customWidth="1"/>
    <col min="5377" max="5377" width="10.50390625" style="684" customWidth="1"/>
    <col min="5378" max="5378" width="39.50390625" style="684" customWidth="1"/>
    <col min="5379" max="5379" width="5.375" style="684" customWidth="1"/>
    <col min="5380" max="5380" width="8.375" style="684" customWidth="1"/>
    <col min="5381" max="5381" width="11.50390625" style="684" customWidth="1"/>
    <col min="5382" max="5382" width="12.00390625" style="684" customWidth="1"/>
    <col min="5383" max="5632" width="14.375" style="684" customWidth="1"/>
    <col min="5633" max="5633" width="10.50390625" style="684" customWidth="1"/>
    <col min="5634" max="5634" width="39.50390625" style="684" customWidth="1"/>
    <col min="5635" max="5635" width="5.375" style="684" customWidth="1"/>
    <col min="5636" max="5636" width="8.375" style="684" customWidth="1"/>
    <col min="5637" max="5637" width="11.50390625" style="684" customWidth="1"/>
    <col min="5638" max="5638" width="12.00390625" style="684" customWidth="1"/>
    <col min="5639" max="5888" width="14.375" style="684" customWidth="1"/>
    <col min="5889" max="5889" width="10.50390625" style="684" customWidth="1"/>
    <col min="5890" max="5890" width="39.50390625" style="684" customWidth="1"/>
    <col min="5891" max="5891" width="5.375" style="684" customWidth="1"/>
    <col min="5892" max="5892" width="8.375" style="684" customWidth="1"/>
    <col min="5893" max="5893" width="11.50390625" style="684" customWidth="1"/>
    <col min="5894" max="5894" width="12.00390625" style="684" customWidth="1"/>
    <col min="5895" max="6144" width="14.375" style="684" customWidth="1"/>
    <col min="6145" max="6145" width="10.50390625" style="684" customWidth="1"/>
    <col min="6146" max="6146" width="39.50390625" style="684" customWidth="1"/>
    <col min="6147" max="6147" width="5.375" style="684" customWidth="1"/>
    <col min="6148" max="6148" width="8.375" style="684" customWidth="1"/>
    <col min="6149" max="6149" width="11.50390625" style="684" customWidth="1"/>
    <col min="6150" max="6150" width="12.00390625" style="684" customWidth="1"/>
    <col min="6151" max="6400" width="14.375" style="684" customWidth="1"/>
    <col min="6401" max="6401" width="10.50390625" style="684" customWidth="1"/>
    <col min="6402" max="6402" width="39.50390625" style="684" customWidth="1"/>
    <col min="6403" max="6403" width="5.375" style="684" customWidth="1"/>
    <col min="6404" max="6404" width="8.375" style="684" customWidth="1"/>
    <col min="6405" max="6405" width="11.50390625" style="684" customWidth="1"/>
    <col min="6406" max="6406" width="12.00390625" style="684" customWidth="1"/>
    <col min="6407" max="6656" width="14.375" style="684" customWidth="1"/>
    <col min="6657" max="6657" width="10.50390625" style="684" customWidth="1"/>
    <col min="6658" max="6658" width="39.50390625" style="684" customWidth="1"/>
    <col min="6659" max="6659" width="5.375" style="684" customWidth="1"/>
    <col min="6660" max="6660" width="8.375" style="684" customWidth="1"/>
    <col min="6661" max="6661" width="11.50390625" style="684" customWidth="1"/>
    <col min="6662" max="6662" width="12.00390625" style="684" customWidth="1"/>
    <col min="6663" max="6912" width="14.375" style="684" customWidth="1"/>
    <col min="6913" max="6913" width="10.50390625" style="684" customWidth="1"/>
    <col min="6914" max="6914" width="39.50390625" style="684" customWidth="1"/>
    <col min="6915" max="6915" width="5.375" style="684" customWidth="1"/>
    <col min="6916" max="6916" width="8.375" style="684" customWidth="1"/>
    <col min="6917" max="6917" width="11.50390625" style="684" customWidth="1"/>
    <col min="6918" max="6918" width="12.00390625" style="684" customWidth="1"/>
    <col min="6919" max="7168" width="14.375" style="684" customWidth="1"/>
    <col min="7169" max="7169" width="10.50390625" style="684" customWidth="1"/>
    <col min="7170" max="7170" width="39.50390625" style="684" customWidth="1"/>
    <col min="7171" max="7171" width="5.375" style="684" customWidth="1"/>
    <col min="7172" max="7172" width="8.375" style="684" customWidth="1"/>
    <col min="7173" max="7173" width="11.50390625" style="684" customWidth="1"/>
    <col min="7174" max="7174" width="12.00390625" style="684" customWidth="1"/>
    <col min="7175" max="7424" width="14.375" style="684" customWidth="1"/>
    <col min="7425" max="7425" width="10.50390625" style="684" customWidth="1"/>
    <col min="7426" max="7426" width="39.50390625" style="684" customWidth="1"/>
    <col min="7427" max="7427" width="5.375" style="684" customWidth="1"/>
    <col min="7428" max="7428" width="8.375" style="684" customWidth="1"/>
    <col min="7429" max="7429" width="11.50390625" style="684" customWidth="1"/>
    <col min="7430" max="7430" width="12.00390625" style="684" customWidth="1"/>
    <col min="7431" max="7680" width="14.375" style="684" customWidth="1"/>
    <col min="7681" max="7681" width="10.50390625" style="684" customWidth="1"/>
    <col min="7682" max="7682" width="39.50390625" style="684" customWidth="1"/>
    <col min="7683" max="7683" width="5.375" style="684" customWidth="1"/>
    <col min="7684" max="7684" width="8.375" style="684" customWidth="1"/>
    <col min="7685" max="7685" width="11.50390625" style="684" customWidth="1"/>
    <col min="7686" max="7686" width="12.00390625" style="684" customWidth="1"/>
    <col min="7687" max="7936" width="14.375" style="684" customWidth="1"/>
    <col min="7937" max="7937" width="10.50390625" style="684" customWidth="1"/>
    <col min="7938" max="7938" width="39.50390625" style="684" customWidth="1"/>
    <col min="7939" max="7939" width="5.375" style="684" customWidth="1"/>
    <col min="7940" max="7940" width="8.375" style="684" customWidth="1"/>
    <col min="7941" max="7941" width="11.50390625" style="684" customWidth="1"/>
    <col min="7942" max="7942" width="12.00390625" style="684" customWidth="1"/>
    <col min="7943" max="8192" width="14.375" style="684" customWidth="1"/>
    <col min="8193" max="8193" width="10.50390625" style="684" customWidth="1"/>
    <col min="8194" max="8194" width="39.50390625" style="684" customWidth="1"/>
    <col min="8195" max="8195" width="5.375" style="684" customWidth="1"/>
    <col min="8196" max="8196" width="8.375" style="684" customWidth="1"/>
    <col min="8197" max="8197" width="11.50390625" style="684" customWidth="1"/>
    <col min="8198" max="8198" width="12.00390625" style="684" customWidth="1"/>
    <col min="8199" max="8448" width="14.375" style="684" customWidth="1"/>
    <col min="8449" max="8449" width="10.50390625" style="684" customWidth="1"/>
    <col min="8450" max="8450" width="39.50390625" style="684" customWidth="1"/>
    <col min="8451" max="8451" width="5.375" style="684" customWidth="1"/>
    <col min="8452" max="8452" width="8.375" style="684" customWidth="1"/>
    <col min="8453" max="8453" width="11.50390625" style="684" customWidth="1"/>
    <col min="8454" max="8454" width="12.00390625" style="684" customWidth="1"/>
    <col min="8455" max="8704" width="14.375" style="684" customWidth="1"/>
    <col min="8705" max="8705" width="10.50390625" style="684" customWidth="1"/>
    <col min="8706" max="8706" width="39.50390625" style="684" customWidth="1"/>
    <col min="8707" max="8707" width="5.375" style="684" customWidth="1"/>
    <col min="8708" max="8708" width="8.375" style="684" customWidth="1"/>
    <col min="8709" max="8709" width="11.50390625" style="684" customWidth="1"/>
    <col min="8710" max="8710" width="12.00390625" style="684" customWidth="1"/>
    <col min="8711" max="8960" width="14.375" style="684" customWidth="1"/>
    <col min="8961" max="8961" width="10.50390625" style="684" customWidth="1"/>
    <col min="8962" max="8962" width="39.50390625" style="684" customWidth="1"/>
    <col min="8963" max="8963" width="5.375" style="684" customWidth="1"/>
    <col min="8964" max="8964" width="8.375" style="684" customWidth="1"/>
    <col min="8965" max="8965" width="11.50390625" style="684" customWidth="1"/>
    <col min="8966" max="8966" width="12.00390625" style="684" customWidth="1"/>
    <col min="8967" max="9216" width="14.375" style="684" customWidth="1"/>
    <col min="9217" max="9217" width="10.50390625" style="684" customWidth="1"/>
    <col min="9218" max="9218" width="39.50390625" style="684" customWidth="1"/>
    <col min="9219" max="9219" width="5.375" style="684" customWidth="1"/>
    <col min="9220" max="9220" width="8.375" style="684" customWidth="1"/>
    <col min="9221" max="9221" width="11.50390625" style="684" customWidth="1"/>
    <col min="9222" max="9222" width="12.00390625" style="684" customWidth="1"/>
    <col min="9223" max="9472" width="14.375" style="684" customWidth="1"/>
    <col min="9473" max="9473" width="10.50390625" style="684" customWidth="1"/>
    <col min="9474" max="9474" width="39.50390625" style="684" customWidth="1"/>
    <col min="9475" max="9475" width="5.375" style="684" customWidth="1"/>
    <col min="9476" max="9476" width="8.375" style="684" customWidth="1"/>
    <col min="9477" max="9477" width="11.50390625" style="684" customWidth="1"/>
    <col min="9478" max="9478" width="12.00390625" style="684" customWidth="1"/>
    <col min="9479" max="9728" width="14.375" style="684" customWidth="1"/>
    <col min="9729" max="9729" width="10.50390625" style="684" customWidth="1"/>
    <col min="9730" max="9730" width="39.50390625" style="684" customWidth="1"/>
    <col min="9731" max="9731" width="5.375" style="684" customWidth="1"/>
    <col min="9732" max="9732" width="8.375" style="684" customWidth="1"/>
    <col min="9733" max="9733" width="11.50390625" style="684" customWidth="1"/>
    <col min="9734" max="9734" width="12.00390625" style="684" customWidth="1"/>
    <col min="9735" max="9984" width="14.375" style="684" customWidth="1"/>
    <col min="9985" max="9985" width="10.50390625" style="684" customWidth="1"/>
    <col min="9986" max="9986" width="39.50390625" style="684" customWidth="1"/>
    <col min="9987" max="9987" width="5.375" style="684" customWidth="1"/>
    <col min="9988" max="9988" width="8.375" style="684" customWidth="1"/>
    <col min="9989" max="9989" width="11.50390625" style="684" customWidth="1"/>
    <col min="9990" max="9990" width="12.00390625" style="684" customWidth="1"/>
    <col min="9991" max="10240" width="14.375" style="684" customWidth="1"/>
    <col min="10241" max="10241" width="10.50390625" style="684" customWidth="1"/>
    <col min="10242" max="10242" width="39.50390625" style="684" customWidth="1"/>
    <col min="10243" max="10243" width="5.375" style="684" customWidth="1"/>
    <col min="10244" max="10244" width="8.375" style="684" customWidth="1"/>
    <col min="10245" max="10245" width="11.50390625" style="684" customWidth="1"/>
    <col min="10246" max="10246" width="12.00390625" style="684" customWidth="1"/>
    <col min="10247" max="10496" width="14.375" style="684" customWidth="1"/>
    <col min="10497" max="10497" width="10.50390625" style="684" customWidth="1"/>
    <col min="10498" max="10498" width="39.50390625" style="684" customWidth="1"/>
    <col min="10499" max="10499" width="5.375" style="684" customWidth="1"/>
    <col min="10500" max="10500" width="8.375" style="684" customWidth="1"/>
    <col min="10501" max="10501" width="11.50390625" style="684" customWidth="1"/>
    <col min="10502" max="10502" width="12.00390625" style="684" customWidth="1"/>
    <col min="10503" max="10752" width="14.375" style="684" customWidth="1"/>
    <col min="10753" max="10753" width="10.50390625" style="684" customWidth="1"/>
    <col min="10754" max="10754" width="39.50390625" style="684" customWidth="1"/>
    <col min="10755" max="10755" width="5.375" style="684" customWidth="1"/>
    <col min="10756" max="10756" width="8.375" style="684" customWidth="1"/>
    <col min="10757" max="10757" width="11.50390625" style="684" customWidth="1"/>
    <col min="10758" max="10758" width="12.00390625" style="684" customWidth="1"/>
    <col min="10759" max="11008" width="14.375" style="684" customWidth="1"/>
    <col min="11009" max="11009" width="10.50390625" style="684" customWidth="1"/>
    <col min="11010" max="11010" width="39.50390625" style="684" customWidth="1"/>
    <col min="11011" max="11011" width="5.375" style="684" customWidth="1"/>
    <col min="11012" max="11012" width="8.375" style="684" customWidth="1"/>
    <col min="11013" max="11013" width="11.50390625" style="684" customWidth="1"/>
    <col min="11014" max="11014" width="12.00390625" style="684" customWidth="1"/>
    <col min="11015" max="11264" width="14.375" style="684" customWidth="1"/>
    <col min="11265" max="11265" width="10.50390625" style="684" customWidth="1"/>
    <col min="11266" max="11266" width="39.50390625" style="684" customWidth="1"/>
    <col min="11267" max="11267" width="5.375" style="684" customWidth="1"/>
    <col min="11268" max="11268" width="8.375" style="684" customWidth="1"/>
    <col min="11269" max="11269" width="11.50390625" style="684" customWidth="1"/>
    <col min="11270" max="11270" width="12.00390625" style="684" customWidth="1"/>
    <col min="11271" max="11520" width="14.375" style="684" customWidth="1"/>
    <col min="11521" max="11521" width="10.50390625" style="684" customWidth="1"/>
    <col min="11522" max="11522" width="39.50390625" style="684" customWidth="1"/>
    <col min="11523" max="11523" width="5.375" style="684" customWidth="1"/>
    <col min="11524" max="11524" width="8.375" style="684" customWidth="1"/>
    <col min="11525" max="11525" width="11.50390625" style="684" customWidth="1"/>
    <col min="11526" max="11526" width="12.00390625" style="684" customWidth="1"/>
    <col min="11527" max="11776" width="14.375" style="684" customWidth="1"/>
    <col min="11777" max="11777" width="10.50390625" style="684" customWidth="1"/>
    <col min="11778" max="11778" width="39.50390625" style="684" customWidth="1"/>
    <col min="11779" max="11779" width="5.375" style="684" customWidth="1"/>
    <col min="11780" max="11780" width="8.375" style="684" customWidth="1"/>
    <col min="11781" max="11781" width="11.50390625" style="684" customWidth="1"/>
    <col min="11782" max="11782" width="12.00390625" style="684" customWidth="1"/>
    <col min="11783" max="12032" width="14.375" style="684" customWidth="1"/>
    <col min="12033" max="12033" width="10.50390625" style="684" customWidth="1"/>
    <col min="12034" max="12034" width="39.50390625" style="684" customWidth="1"/>
    <col min="12035" max="12035" width="5.375" style="684" customWidth="1"/>
    <col min="12036" max="12036" width="8.375" style="684" customWidth="1"/>
    <col min="12037" max="12037" width="11.50390625" style="684" customWidth="1"/>
    <col min="12038" max="12038" width="12.00390625" style="684" customWidth="1"/>
    <col min="12039" max="12288" width="14.375" style="684" customWidth="1"/>
    <col min="12289" max="12289" width="10.50390625" style="684" customWidth="1"/>
    <col min="12290" max="12290" width="39.50390625" style="684" customWidth="1"/>
    <col min="12291" max="12291" width="5.375" style="684" customWidth="1"/>
    <col min="12292" max="12292" width="8.375" style="684" customWidth="1"/>
    <col min="12293" max="12293" width="11.50390625" style="684" customWidth="1"/>
    <col min="12294" max="12294" width="12.00390625" style="684" customWidth="1"/>
    <col min="12295" max="12544" width="14.375" style="684" customWidth="1"/>
    <col min="12545" max="12545" width="10.50390625" style="684" customWidth="1"/>
    <col min="12546" max="12546" width="39.50390625" style="684" customWidth="1"/>
    <col min="12547" max="12547" width="5.375" style="684" customWidth="1"/>
    <col min="12548" max="12548" width="8.375" style="684" customWidth="1"/>
    <col min="12549" max="12549" width="11.50390625" style="684" customWidth="1"/>
    <col min="12550" max="12550" width="12.00390625" style="684" customWidth="1"/>
    <col min="12551" max="12800" width="14.375" style="684" customWidth="1"/>
    <col min="12801" max="12801" width="10.50390625" style="684" customWidth="1"/>
    <col min="12802" max="12802" width="39.50390625" style="684" customWidth="1"/>
    <col min="12803" max="12803" width="5.375" style="684" customWidth="1"/>
    <col min="12804" max="12804" width="8.375" style="684" customWidth="1"/>
    <col min="12805" max="12805" width="11.50390625" style="684" customWidth="1"/>
    <col min="12806" max="12806" width="12.00390625" style="684" customWidth="1"/>
    <col min="12807" max="13056" width="14.375" style="684" customWidth="1"/>
    <col min="13057" max="13057" width="10.50390625" style="684" customWidth="1"/>
    <col min="13058" max="13058" width="39.50390625" style="684" customWidth="1"/>
    <col min="13059" max="13059" width="5.375" style="684" customWidth="1"/>
    <col min="13060" max="13060" width="8.375" style="684" customWidth="1"/>
    <col min="13061" max="13061" width="11.50390625" style="684" customWidth="1"/>
    <col min="13062" max="13062" width="12.00390625" style="684" customWidth="1"/>
    <col min="13063" max="13312" width="14.375" style="684" customWidth="1"/>
    <col min="13313" max="13313" width="10.50390625" style="684" customWidth="1"/>
    <col min="13314" max="13314" width="39.50390625" style="684" customWidth="1"/>
    <col min="13315" max="13315" width="5.375" style="684" customWidth="1"/>
    <col min="13316" max="13316" width="8.375" style="684" customWidth="1"/>
    <col min="13317" max="13317" width="11.50390625" style="684" customWidth="1"/>
    <col min="13318" max="13318" width="12.00390625" style="684" customWidth="1"/>
    <col min="13319" max="13568" width="14.375" style="684" customWidth="1"/>
    <col min="13569" max="13569" width="10.50390625" style="684" customWidth="1"/>
    <col min="13570" max="13570" width="39.50390625" style="684" customWidth="1"/>
    <col min="13571" max="13571" width="5.375" style="684" customWidth="1"/>
    <col min="13572" max="13572" width="8.375" style="684" customWidth="1"/>
    <col min="13573" max="13573" width="11.50390625" style="684" customWidth="1"/>
    <col min="13574" max="13574" width="12.00390625" style="684" customWidth="1"/>
    <col min="13575" max="13824" width="14.375" style="684" customWidth="1"/>
    <col min="13825" max="13825" width="10.50390625" style="684" customWidth="1"/>
    <col min="13826" max="13826" width="39.50390625" style="684" customWidth="1"/>
    <col min="13827" max="13827" width="5.375" style="684" customWidth="1"/>
    <col min="13828" max="13828" width="8.375" style="684" customWidth="1"/>
    <col min="13829" max="13829" width="11.50390625" style="684" customWidth="1"/>
    <col min="13830" max="13830" width="12.00390625" style="684" customWidth="1"/>
    <col min="13831" max="14080" width="14.375" style="684" customWidth="1"/>
    <col min="14081" max="14081" width="10.50390625" style="684" customWidth="1"/>
    <col min="14082" max="14082" width="39.50390625" style="684" customWidth="1"/>
    <col min="14083" max="14083" width="5.375" style="684" customWidth="1"/>
    <col min="14084" max="14084" width="8.375" style="684" customWidth="1"/>
    <col min="14085" max="14085" width="11.50390625" style="684" customWidth="1"/>
    <col min="14086" max="14086" width="12.00390625" style="684" customWidth="1"/>
    <col min="14087" max="14336" width="14.375" style="684" customWidth="1"/>
    <col min="14337" max="14337" width="10.50390625" style="684" customWidth="1"/>
    <col min="14338" max="14338" width="39.50390625" style="684" customWidth="1"/>
    <col min="14339" max="14339" width="5.375" style="684" customWidth="1"/>
    <col min="14340" max="14340" width="8.375" style="684" customWidth="1"/>
    <col min="14341" max="14341" width="11.50390625" style="684" customWidth="1"/>
    <col min="14342" max="14342" width="12.00390625" style="684" customWidth="1"/>
    <col min="14343" max="14592" width="14.375" style="684" customWidth="1"/>
    <col min="14593" max="14593" width="10.50390625" style="684" customWidth="1"/>
    <col min="14594" max="14594" width="39.50390625" style="684" customWidth="1"/>
    <col min="14595" max="14595" width="5.375" style="684" customWidth="1"/>
    <col min="14596" max="14596" width="8.375" style="684" customWidth="1"/>
    <col min="14597" max="14597" width="11.50390625" style="684" customWidth="1"/>
    <col min="14598" max="14598" width="12.00390625" style="684" customWidth="1"/>
    <col min="14599" max="14848" width="14.375" style="684" customWidth="1"/>
    <col min="14849" max="14849" width="10.50390625" style="684" customWidth="1"/>
    <col min="14850" max="14850" width="39.50390625" style="684" customWidth="1"/>
    <col min="14851" max="14851" width="5.375" style="684" customWidth="1"/>
    <col min="14852" max="14852" width="8.375" style="684" customWidth="1"/>
    <col min="14853" max="14853" width="11.50390625" style="684" customWidth="1"/>
    <col min="14854" max="14854" width="12.00390625" style="684" customWidth="1"/>
    <col min="14855" max="15104" width="14.375" style="684" customWidth="1"/>
    <col min="15105" max="15105" width="10.50390625" style="684" customWidth="1"/>
    <col min="15106" max="15106" width="39.50390625" style="684" customWidth="1"/>
    <col min="15107" max="15107" width="5.375" style="684" customWidth="1"/>
    <col min="15108" max="15108" width="8.375" style="684" customWidth="1"/>
    <col min="15109" max="15109" width="11.50390625" style="684" customWidth="1"/>
    <col min="15110" max="15110" width="12.00390625" style="684" customWidth="1"/>
    <col min="15111" max="15360" width="14.375" style="684" customWidth="1"/>
    <col min="15361" max="15361" width="10.50390625" style="684" customWidth="1"/>
    <col min="15362" max="15362" width="39.50390625" style="684" customWidth="1"/>
    <col min="15363" max="15363" width="5.375" style="684" customWidth="1"/>
    <col min="15364" max="15364" width="8.375" style="684" customWidth="1"/>
    <col min="15365" max="15365" width="11.50390625" style="684" customWidth="1"/>
    <col min="15366" max="15366" width="12.00390625" style="684" customWidth="1"/>
    <col min="15367" max="15616" width="14.375" style="684" customWidth="1"/>
    <col min="15617" max="15617" width="10.50390625" style="684" customWidth="1"/>
    <col min="15618" max="15618" width="39.50390625" style="684" customWidth="1"/>
    <col min="15619" max="15619" width="5.375" style="684" customWidth="1"/>
    <col min="15620" max="15620" width="8.375" style="684" customWidth="1"/>
    <col min="15621" max="15621" width="11.50390625" style="684" customWidth="1"/>
    <col min="15622" max="15622" width="12.00390625" style="684" customWidth="1"/>
    <col min="15623" max="15872" width="14.375" style="684" customWidth="1"/>
    <col min="15873" max="15873" width="10.50390625" style="684" customWidth="1"/>
    <col min="15874" max="15874" width="39.50390625" style="684" customWidth="1"/>
    <col min="15875" max="15875" width="5.375" style="684" customWidth="1"/>
    <col min="15876" max="15876" width="8.375" style="684" customWidth="1"/>
    <col min="15877" max="15877" width="11.50390625" style="684" customWidth="1"/>
    <col min="15878" max="15878" width="12.00390625" style="684" customWidth="1"/>
    <col min="15879" max="16128" width="14.375" style="684" customWidth="1"/>
    <col min="16129" max="16129" width="10.50390625" style="684" customWidth="1"/>
    <col min="16130" max="16130" width="39.50390625" style="684" customWidth="1"/>
    <col min="16131" max="16131" width="5.375" style="684" customWidth="1"/>
    <col min="16132" max="16132" width="8.375" style="684" customWidth="1"/>
    <col min="16133" max="16133" width="11.50390625" style="684" customWidth="1"/>
    <col min="16134" max="16134" width="12.00390625" style="684" customWidth="1"/>
    <col min="16135" max="16384" width="14.375" style="684" customWidth="1"/>
  </cols>
  <sheetData>
    <row r="1" spans="2:6" ht="15.6">
      <c r="B1" s="683" t="s">
        <v>1065</v>
      </c>
      <c r="F1" s="684"/>
    </row>
    <row r="2" spans="2:6" ht="12.75">
      <c r="B2" s="686"/>
      <c r="F2" s="684"/>
    </row>
    <row r="3" spans="2:6" ht="13.8">
      <c r="B3" s="687" t="s">
        <v>1719</v>
      </c>
      <c r="F3" s="684"/>
    </row>
    <row r="4" spans="2:6" ht="12.75">
      <c r="B4" s="686"/>
      <c r="F4" s="684"/>
    </row>
    <row r="5" spans="2:6" ht="13.2">
      <c r="B5" s="688" t="s">
        <v>1705</v>
      </c>
      <c r="F5" s="684"/>
    </row>
    <row r="6" spans="2:6" ht="12.75">
      <c r="B6" s="684" t="s">
        <v>1068</v>
      </c>
      <c r="D6" s="689"/>
      <c r="E6" s="690" t="s">
        <v>1069</v>
      </c>
      <c r="F6" s="684"/>
    </row>
    <row r="7" spans="1:7" ht="12.75">
      <c r="A7" s="691" t="s">
        <v>1070</v>
      </c>
      <c r="B7" s="692" t="s">
        <v>1071</v>
      </c>
      <c r="C7" s="692" t="s">
        <v>1072</v>
      </c>
      <c r="D7" s="693" t="s">
        <v>133</v>
      </c>
      <c r="E7" s="693" t="s">
        <v>1042</v>
      </c>
      <c r="F7" s="694" t="s">
        <v>1073</v>
      </c>
      <c r="G7" s="695"/>
    </row>
    <row r="8" spans="1:6" ht="12.75">
      <c r="A8" s="696"/>
      <c r="B8" s="697"/>
      <c r="C8" s="698"/>
      <c r="D8" s="699"/>
      <c r="E8" s="699"/>
      <c r="F8" s="700"/>
    </row>
    <row r="9" spans="1:6" s="702" customFormat="1" ht="12.75">
      <c r="A9" s="696"/>
      <c r="D9" s="707"/>
      <c r="E9" s="707"/>
      <c r="F9" s="705"/>
    </row>
    <row r="10" spans="1:6" s="702" customFormat="1" ht="12.75">
      <c r="A10" s="696"/>
      <c r="B10" s="732" t="s">
        <v>1720</v>
      </c>
      <c r="D10" s="707"/>
      <c r="E10" s="707"/>
      <c r="F10" s="705"/>
    </row>
    <row r="11" spans="1:6" s="702" customFormat="1" ht="12.75">
      <c r="A11" s="696">
        <v>1</v>
      </c>
      <c r="B11" s="702" t="s">
        <v>1098</v>
      </c>
      <c r="C11" s="702" t="s">
        <v>231</v>
      </c>
      <c r="D11" s="707">
        <v>8</v>
      </c>
      <c r="F11" s="705">
        <f aca="true" t="shared" si="0" ref="F11:F31">D11*E11</f>
        <v>0</v>
      </c>
    </row>
    <row r="12" spans="1:6" s="702" customFormat="1" ht="12.75">
      <c r="A12" s="696">
        <v>2</v>
      </c>
      <c r="B12" s="702" t="s">
        <v>1099</v>
      </c>
      <c r="C12" s="702" t="s">
        <v>231</v>
      </c>
      <c r="D12" s="707">
        <v>6</v>
      </c>
      <c r="F12" s="705">
        <f t="shared" si="0"/>
        <v>0</v>
      </c>
    </row>
    <row r="13" spans="1:6" s="702" customFormat="1" ht="12.75">
      <c r="A13" s="696">
        <v>3</v>
      </c>
      <c r="B13" s="702" t="s">
        <v>1101</v>
      </c>
      <c r="C13" s="702" t="s">
        <v>757</v>
      </c>
      <c r="D13" s="707">
        <v>15</v>
      </c>
      <c r="F13" s="705">
        <f t="shared" si="0"/>
        <v>0</v>
      </c>
    </row>
    <row r="14" spans="1:6" s="702" customFormat="1" ht="12.75">
      <c r="A14" s="696">
        <v>4</v>
      </c>
      <c r="B14" s="702" t="s">
        <v>1102</v>
      </c>
      <c r="C14" s="702" t="s">
        <v>757</v>
      </c>
      <c r="D14" s="707">
        <v>3</v>
      </c>
      <c r="F14" s="705">
        <f t="shared" si="0"/>
        <v>0</v>
      </c>
    </row>
    <row r="15" spans="1:6" s="702" customFormat="1" ht="12.75">
      <c r="A15" s="696">
        <v>5</v>
      </c>
      <c r="B15" s="702" t="s">
        <v>1103</v>
      </c>
      <c r="C15" s="702" t="s">
        <v>231</v>
      </c>
      <c r="D15" s="707">
        <v>8</v>
      </c>
      <c r="F15" s="705">
        <f t="shared" si="0"/>
        <v>0</v>
      </c>
    </row>
    <row r="16" spans="1:6" s="702" customFormat="1" ht="12.75">
      <c r="A16" s="696">
        <v>6</v>
      </c>
      <c r="B16" s="702" t="s">
        <v>1104</v>
      </c>
      <c r="C16" s="702" t="s">
        <v>231</v>
      </c>
      <c r="D16" s="707">
        <v>6</v>
      </c>
      <c r="F16" s="705">
        <f t="shared" si="0"/>
        <v>0</v>
      </c>
    </row>
    <row r="17" spans="1:10" s="712" customFormat="1" ht="12.75">
      <c r="A17" s="696">
        <v>7</v>
      </c>
      <c r="B17" s="702" t="s">
        <v>1107</v>
      </c>
      <c r="C17" s="702" t="s">
        <v>757</v>
      </c>
      <c r="D17" s="707">
        <v>4</v>
      </c>
      <c r="F17" s="705">
        <f>D17*E17</f>
        <v>0</v>
      </c>
      <c r="H17" s="702"/>
      <c r="J17" s="702"/>
    </row>
    <row r="18" spans="1:6" s="702" customFormat="1" ht="12.75">
      <c r="A18" s="696">
        <v>8</v>
      </c>
      <c r="B18" s="702" t="s">
        <v>1108</v>
      </c>
      <c r="C18" s="702" t="s">
        <v>757</v>
      </c>
      <c r="D18" s="707">
        <v>3</v>
      </c>
      <c r="F18" s="705">
        <f t="shared" si="0"/>
        <v>0</v>
      </c>
    </row>
    <row r="19" spans="1:10" s="712" customFormat="1" ht="12.75">
      <c r="A19" s="696">
        <v>9</v>
      </c>
      <c r="B19" s="702" t="s">
        <v>1110</v>
      </c>
      <c r="C19" s="702" t="s">
        <v>757</v>
      </c>
      <c r="D19" s="707">
        <v>2</v>
      </c>
      <c r="F19" s="705">
        <f>D19*E19</f>
        <v>0</v>
      </c>
      <c r="H19" s="702"/>
      <c r="J19" s="702"/>
    </row>
    <row r="20" spans="1:6" s="702" customFormat="1" ht="12.75">
      <c r="A20" s="696">
        <v>10</v>
      </c>
      <c r="B20" s="702" t="s">
        <v>1721</v>
      </c>
      <c r="C20" s="702" t="s">
        <v>757</v>
      </c>
      <c r="D20" s="707">
        <v>2</v>
      </c>
      <c r="F20" s="705">
        <f t="shared" si="0"/>
        <v>0</v>
      </c>
    </row>
    <row r="21" spans="1:6" s="702" customFormat="1" ht="12.75">
      <c r="A21" s="696">
        <v>11</v>
      </c>
      <c r="B21" s="702" t="s">
        <v>1722</v>
      </c>
      <c r="C21" s="702" t="s">
        <v>231</v>
      </c>
      <c r="D21" s="707">
        <v>140</v>
      </c>
      <c r="F21" s="705">
        <f>D21*E21</f>
        <v>0</v>
      </c>
    </row>
    <row r="22" spans="1:6" s="702" customFormat="1" ht="12.75">
      <c r="A22" s="696">
        <v>12</v>
      </c>
      <c r="B22" s="702" t="s">
        <v>1723</v>
      </c>
      <c r="C22" s="702" t="s">
        <v>757</v>
      </c>
      <c r="D22" s="707">
        <v>2</v>
      </c>
      <c r="F22" s="705">
        <f>D22*E22</f>
        <v>0</v>
      </c>
    </row>
    <row r="23" spans="1:8" s="703" customFormat="1" ht="12.75">
      <c r="A23" s="696">
        <v>13</v>
      </c>
      <c r="B23" s="702" t="s">
        <v>1724</v>
      </c>
      <c r="C23" s="703" t="s">
        <v>757</v>
      </c>
      <c r="D23" s="704">
        <v>2</v>
      </c>
      <c r="F23" s="705">
        <f>D23*E23</f>
        <v>0</v>
      </c>
      <c r="H23" s="702"/>
    </row>
    <row r="24" spans="1:6" s="702" customFormat="1" ht="12.75">
      <c r="A24" s="696">
        <v>14</v>
      </c>
      <c r="B24" s="702" t="s">
        <v>1725</v>
      </c>
      <c r="C24" s="702" t="s">
        <v>231</v>
      </c>
      <c r="D24" s="707">
        <v>140</v>
      </c>
      <c r="F24" s="705">
        <f>D24*E24</f>
        <v>0</v>
      </c>
    </row>
    <row r="25" spans="1:6" s="702" customFormat="1" ht="12.75">
      <c r="A25" s="696">
        <v>15</v>
      </c>
      <c r="B25" s="702" t="s">
        <v>1118</v>
      </c>
      <c r="C25" s="702" t="s">
        <v>1096</v>
      </c>
      <c r="D25" s="707">
        <v>1</v>
      </c>
      <c r="F25" s="705">
        <f t="shared" si="0"/>
        <v>0</v>
      </c>
    </row>
    <row r="26" spans="1:8" ht="12.75">
      <c r="A26" s="696">
        <v>16</v>
      </c>
      <c r="B26" s="702" t="s">
        <v>1726</v>
      </c>
      <c r="C26" s="684" t="s">
        <v>231</v>
      </c>
      <c r="D26" s="717">
        <f>SUM(D11,D12)</f>
        <v>14</v>
      </c>
      <c r="E26" s="684"/>
      <c r="F26" s="705">
        <f>D26*E26</f>
        <v>0</v>
      </c>
      <c r="H26" s="702"/>
    </row>
    <row r="27" spans="1:8" ht="12.75">
      <c r="A27" s="696">
        <v>17</v>
      </c>
      <c r="B27" s="702" t="s">
        <v>1727</v>
      </c>
      <c r="C27" s="684" t="s">
        <v>231</v>
      </c>
      <c r="D27" s="717">
        <f>SUM(D21)</f>
        <v>140</v>
      </c>
      <c r="E27" s="684"/>
      <c r="F27" s="705">
        <f t="shared" si="0"/>
        <v>0</v>
      </c>
      <c r="H27" s="702"/>
    </row>
    <row r="28" spans="1:8" ht="12.75">
      <c r="A28" s="696">
        <v>18</v>
      </c>
      <c r="B28" s="702" t="s">
        <v>1728</v>
      </c>
      <c r="C28" s="684" t="s">
        <v>757</v>
      </c>
      <c r="D28" s="717">
        <f>SUM(D22)</f>
        <v>2</v>
      </c>
      <c r="E28" s="684"/>
      <c r="F28" s="705">
        <f>D28*E28</f>
        <v>0</v>
      </c>
      <c r="H28" s="702"/>
    </row>
    <row r="29" spans="1:8" ht="12.75">
      <c r="A29" s="696">
        <v>19</v>
      </c>
      <c r="B29" s="702" t="s">
        <v>1119</v>
      </c>
      <c r="C29" s="684" t="s">
        <v>231</v>
      </c>
      <c r="D29" s="717">
        <f>SUM(D11,D12,D21)</f>
        <v>154</v>
      </c>
      <c r="E29" s="684"/>
      <c r="F29" s="705">
        <f t="shared" si="0"/>
        <v>0</v>
      </c>
      <c r="H29" s="702"/>
    </row>
    <row r="30" spans="1:8" s="703" customFormat="1" ht="12.75">
      <c r="A30" s="696">
        <v>20</v>
      </c>
      <c r="B30" s="702" t="s">
        <v>1094</v>
      </c>
      <c r="C30" s="703" t="s">
        <v>231</v>
      </c>
      <c r="D30" s="704">
        <f>SUM(D27)</f>
        <v>140</v>
      </c>
      <c r="F30" s="705">
        <f t="shared" si="0"/>
        <v>0</v>
      </c>
      <c r="H30" s="702"/>
    </row>
    <row r="31" spans="1:8" ht="12.75">
      <c r="A31" s="696">
        <v>21</v>
      </c>
      <c r="B31" s="708" t="s">
        <v>1095</v>
      </c>
      <c r="C31" s="684" t="s">
        <v>1096</v>
      </c>
      <c r="D31" s="717">
        <v>1</v>
      </c>
      <c r="E31" s="684"/>
      <c r="F31" s="705">
        <f t="shared" si="0"/>
        <v>0</v>
      </c>
      <c r="H31" s="702"/>
    </row>
    <row r="32" spans="1:8" ht="12.75">
      <c r="A32" s="696">
        <v>22</v>
      </c>
      <c r="B32" s="684" t="s">
        <v>1718</v>
      </c>
      <c r="C32" s="684" t="s">
        <v>9</v>
      </c>
      <c r="D32" s="717">
        <v>2</v>
      </c>
      <c r="E32" s="717"/>
      <c r="F32" s="718">
        <f>E32*D32</f>
        <v>0</v>
      </c>
      <c r="H32" s="913">
        <v>165565</v>
      </c>
    </row>
    <row r="33" spans="1:8" ht="12.75">
      <c r="A33" s="719"/>
      <c r="D33" s="717"/>
      <c r="E33" s="717"/>
      <c r="H33" s="912">
        <v>100</v>
      </c>
    </row>
    <row r="34" spans="4:8" ht="12.75">
      <c r="D34" s="717"/>
      <c r="E34" s="717"/>
      <c r="H34" s="912">
        <f>H32/H33</f>
        <v>1655.65</v>
      </c>
    </row>
    <row r="35" spans="6:10" ht="12.75">
      <c r="F35" s="722">
        <f>SUM(F9:F33)</f>
        <v>0</v>
      </c>
      <c r="J35" s="684" t="str">
        <f aca="true" t="shared" si="1" ref="J35:J98">IF(H35=0,"",F35*0.22)</f>
        <v/>
      </c>
    </row>
    <row r="36" ht="12.75">
      <c r="J36" s="684" t="str">
        <f t="shared" si="1"/>
        <v/>
      </c>
    </row>
    <row r="37" spans="1:10" s="686" customFormat="1" ht="12.75">
      <c r="A37" s="720"/>
      <c r="D37" s="723"/>
      <c r="E37" s="723"/>
      <c r="F37" s="722"/>
      <c r="H37" s="684"/>
      <c r="J37" s="684" t="str">
        <f t="shared" si="1"/>
        <v/>
      </c>
    </row>
    <row r="38" spans="2:10" ht="12.75">
      <c r="B38" s="732"/>
      <c r="J38" s="684" t="str">
        <f t="shared" si="1"/>
        <v/>
      </c>
    </row>
    <row r="39" spans="1:10" s="686" customFormat="1" ht="12.75">
      <c r="A39" s="720"/>
      <c r="B39" s="684"/>
      <c r="D39" s="723"/>
      <c r="E39" s="723"/>
      <c r="F39" s="722"/>
      <c r="H39" s="684"/>
      <c r="J39" s="684" t="str">
        <f t="shared" si="1"/>
        <v/>
      </c>
    </row>
    <row r="40" ht="12.75">
      <c r="J40" s="684" t="str">
        <f t="shared" si="1"/>
        <v/>
      </c>
    </row>
    <row r="41" ht="12.75">
      <c r="J41" s="684" t="str">
        <f t="shared" si="1"/>
        <v/>
      </c>
    </row>
    <row r="42" ht="12.75">
      <c r="J42" s="684" t="str">
        <f t="shared" si="1"/>
        <v/>
      </c>
    </row>
    <row r="43" ht="12.75">
      <c r="J43" s="684" t="str">
        <f t="shared" si="1"/>
        <v/>
      </c>
    </row>
    <row r="44" ht="12.75">
      <c r="J44" s="684" t="str">
        <f t="shared" si="1"/>
        <v/>
      </c>
    </row>
    <row r="45" ht="12.75">
      <c r="J45" s="684" t="str">
        <f t="shared" si="1"/>
        <v/>
      </c>
    </row>
    <row r="46" ht="12.75">
      <c r="J46" s="684" t="str">
        <f t="shared" si="1"/>
        <v/>
      </c>
    </row>
    <row r="47" ht="12.75">
      <c r="J47" s="684" t="str">
        <f t="shared" si="1"/>
        <v/>
      </c>
    </row>
    <row r="48" ht="12.75">
      <c r="J48" s="684" t="str">
        <f t="shared" si="1"/>
        <v/>
      </c>
    </row>
    <row r="49" ht="12.75">
      <c r="J49" s="684" t="str">
        <f t="shared" si="1"/>
        <v/>
      </c>
    </row>
    <row r="50" ht="12.75">
      <c r="J50" s="684" t="str">
        <f t="shared" si="1"/>
        <v/>
      </c>
    </row>
    <row r="51" ht="12.75">
      <c r="J51" s="684" t="str">
        <f t="shared" si="1"/>
        <v/>
      </c>
    </row>
    <row r="52" ht="12.75">
      <c r="J52" s="684" t="str">
        <f t="shared" si="1"/>
        <v/>
      </c>
    </row>
    <row r="53" ht="12.75">
      <c r="J53" s="684" t="str">
        <f t="shared" si="1"/>
        <v/>
      </c>
    </row>
    <row r="54" ht="12.75">
      <c r="J54" s="684" t="str">
        <f t="shared" si="1"/>
        <v/>
      </c>
    </row>
    <row r="55" ht="12.75">
      <c r="J55" s="684" t="str">
        <f t="shared" si="1"/>
        <v/>
      </c>
    </row>
    <row r="56" ht="12.75">
      <c r="J56" s="684" t="str">
        <f t="shared" si="1"/>
        <v/>
      </c>
    </row>
    <row r="57" ht="12.75">
      <c r="J57" s="684" t="str">
        <f t="shared" si="1"/>
        <v/>
      </c>
    </row>
    <row r="58" ht="12.75">
      <c r="J58" s="684" t="str">
        <f t="shared" si="1"/>
        <v/>
      </c>
    </row>
    <row r="59" spans="1:10" s="686" customFormat="1" ht="12.75">
      <c r="A59" s="720"/>
      <c r="D59" s="723"/>
      <c r="E59" s="723"/>
      <c r="F59" s="722"/>
      <c r="H59" s="684"/>
      <c r="J59" s="684" t="str">
        <f t="shared" si="1"/>
        <v/>
      </c>
    </row>
    <row r="60" ht="12.75">
      <c r="J60" s="684" t="str">
        <f t="shared" si="1"/>
        <v/>
      </c>
    </row>
    <row r="61" spans="1:10" s="686" customFormat="1" ht="12.75">
      <c r="A61" s="720"/>
      <c r="D61" s="723"/>
      <c r="E61" s="723"/>
      <c r="F61" s="722"/>
      <c r="H61" s="684"/>
      <c r="J61" s="684" t="str">
        <f t="shared" si="1"/>
        <v/>
      </c>
    </row>
    <row r="62" ht="12.75">
      <c r="J62" s="684" t="str">
        <f t="shared" si="1"/>
        <v/>
      </c>
    </row>
    <row r="63" ht="12.75">
      <c r="J63" s="684" t="str">
        <f t="shared" si="1"/>
        <v/>
      </c>
    </row>
    <row r="64" ht="12.75">
      <c r="J64" s="684" t="str">
        <f t="shared" si="1"/>
        <v/>
      </c>
    </row>
    <row r="65" ht="12.75">
      <c r="J65" s="684" t="str">
        <f t="shared" si="1"/>
        <v/>
      </c>
    </row>
    <row r="66" ht="12.75">
      <c r="J66" s="684" t="str">
        <f t="shared" si="1"/>
        <v/>
      </c>
    </row>
    <row r="67" ht="12.75">
      <c r="J67" s="684" t="str">
        <f t="shared" si="1"/>
        <v/>
      </c>
    </row>
    <row r="68" ht="12.75">
      <c r="J68" s="684" t="str">
        <f t="shared" si="1"/>
        <v/>
      </c>
    </row>
    <row r="69" ht="12.75">
      <c r="J69" s="684" t="str">
        <f t="shared" si="1"/>
        <v/>
      </c>
    </row>
    <row r="70" ht="12.75">
      <c r="J70" s="684" t="str">
        <f t="shared" si="1"/>
        <v/>
      </c>
    </row>
    <row r="71" spans="1:10" s="686" customFormat="1" ht="12.75">
      <c r="A71" s="720"/>
      <c r="D71" s="723"/>
      <c r="E71" s="723"/>
      <c r="F71" s="722"/>
      <c r="H71" s="684"/>
      <c r="J71" s="684" t="str">
        <f t="shared" si="1"/>
        <v/>
      </c>
    </row>
    <row r="72" ht="12.75">
      <c r="J72" s="684" t="str">
        <f t="shared" si="1"/>
        <v/>
      </c>
    </row>
    <row r="73" spans="1:10" s="686" customFormat="1" ht="12.75">
      <c r="A73" s="720"/>
      <c r="D73" s="723"/>
      <c r="E73" s="723"/>
      <c r="F73" s="722"/>
      <c r="H73" s="684"/>
      <c r="J73" s="684" t="str">
        <f t="shared" si="1"/>
        <v/>
      </c>
    </row>
    <row r="74" ht="12.75">
      <c r="J74" s="684" t="str">
        <f t="shared" si="1"/>
        <v/>
      </c>
    </row>
    <row r="75" ht="12.75">
      <c r="J75" s="684" t="str">
        <f t="shared" si="1"/>
        <v/>
      </c>
    </row>
    <row r="76" spans="1:10" s="686" customFormat="1" ht="12.75">
      <c r="A76" s="720"/>
      <c r="D76" s="723"/>
      <c r="E76" s="723"/>
      <c r="F76" s="722"/>
      <c r="H76" s="684"/>
      <c r="J76" s="684" t="str">
        <f t="shared" si="1"/>
        <v/>
      </c>
    </row>
    <row r="77" ht="12.75">
      <c r="J77" s="684" t="str">
        <f t="shared" si="1"/>
        <v/>
      </c>
    </row>
    <row r="78" spans="1:10" s="686" customFormat="1" ht="12.75">
      <c r="A78" s="720"/>
      <c r="D78" s="723"/>
      <c r="E78" s="723"/>
      <c r="F78" s="722"/>
      <c r="H78" s="684"/>
      <c r="J78" s="684" t="str">
        <f t="shared" si="1"/>
        <v/>
      </c>
    </row>
    <row r="79" ht="12.75">
      <c r="J79" s="684" t="str">
        <f t="shared" si="1"/>
        <v/>
      </c>
    </row>
    <row r="80" ht="12.75">
      <c r="J80" s="684" t="str">
        <f t="shared" si="1"/>
        <v/>
      </c>
    </row>
    <row r="81" ht="12.75">
      <c r="J81" s="684" t="str">
        <f t="shared" si="1"/>
        <v/>
      </c>
    </row>
    <row r="82" spans="1:10" s="686" customFormat="1" ht="12.75">
      <c r="A82" s="720"/>
      <c r="D82" s="723"/>
      <c r="E82" s="723"/>
      <c r="F82" s="722"/>
      <c r="H82" s="684"/>
      <c r="J82" s="684" t="str">
        <f t="shared" si="1"/>
        <v/>
      </c>
    </row>
    <row r="83" ht="12.75">
      <c r="J83" s="684" t="str">
        <f t="shared" si="1"/>
        <v/>
      </c>
    </row>
    <row r="84" spans="1:10" s="686" customFormat="1" ht="12.75">
      <c r="A84" s="720"/>
      <c r="D84" s="723"/>
      <c r="E84" s="723"/>
      <c r="F84" s="722"/>
      <c r="H84" s="684"/>
      <c r="J84" s="684" t="str">
        <f t="shared" si="1"/>
        <v/>
      </c>
    </row>
    <row r="85" ht="12.75">
      <c r="J85" s="684" t="str">
        <f t="shared" si="1"/>
        <v/>
      </c>
    </row>
    <row r="86" ht="12.75">
      <c r="J86" s="684" t="str">
        <f t="shared" si="1"/>
        <v/>
      </c>
    </row>
    <row r="87" spans="1:10" s="686" customFormat="1" ht="12.75">
      <c r="A87" s="720"/>
      <c r="D87" s="723"/>
      <c r="E87" s="723"/>
      <c r="F87" s="722"/>
      <c r="H87" s="684"/>
      <c r="J87" s="684" t="str">
        <f t="shared" si="1"/>
        <v/>
      </c>
    </row>
    <row r="88" ht="12.75">
      <c r="J88" s="684" t="str">
        <f t="shared" si="1"/>
        <v/>
      </c>
    </row>
    <row r="89" spans="1:10" s="686" customFormat="1" ht="12.75">
      <c r="A89" s="720"/>
      <c r="D89" s="723"/>
      <c r="E89" s="723"/>
      <c r="F89" s="722"/>
      <c r="H89" s="684"/>
      <c r="J89" s="684" t="str">
        <f t="shared" si="1"/>
        <v/>
      </c>
    </row>
    <row r="90" ht="12.75">
      <c r="J90" s="684" t="str">
        <f t="shared" si="1"/>
        <v/>
      </c>
    </row>
    <row r="91" ht="12.75">
      <c r="J91" s="684" t="str">
        <f t="shared" si="1"/>
        <v/>
      </c>
    </row>
    <row r="92" spans="1:10" s="686" customFormat="1" ht="12.75">
      <c r="A92" s="720"/>
      <c r="D92" s="723"/>
      <c r="E92" s="723"/>
      <c r="F92" s="722"/>
      <c r="H92" s="684"/>
      <c r="J92" s="684" t="str">
        <f t="shared" si="1"/>
        <v/>
      </c>
    </row>
    <row r="93" ht="12.75">
      <c r="J93" s="684" t="str">
        <f t="shared" si="1"/>
        <v/>
      </c>
    </row>
    <row r="94" spans="1:10" s="686" customFormat="1" ht="12.75">
      <c r="A94" s="720"/>
      <c r="D94" s="723"/>
      <c r="E94" s="723"/>
      <c r="F94" s="722"/>
      <c r="H94" s="684"/>
      <c r="J94" s="684" t="str">
        <f t="shared" si="1"/>
        <v/>
      </c>
    </row>
    <row r="95" ht="12.75">
      <c r="J95" s="684" t="str">
        <f t="shared" si="1"/>
        <v/>
      </c>
    </row>
    <row r="96" ht="12.75">
      <c r="J96" s="684" t="str">
        <f t="shared" si="1"/>
        <v/>
      </c>
    </row>
    <row r="97" ht="12.75">
      <c r="J97" s="684" t="str">
        <f t="shared" si="1"/>
        <v/>
      </c>
    </row>
    <row r="98" ht="12.75">
      <c r="J98" s="684" t="str">
        <f t="shared" si="1"/>
        <v/>
      </c>
    </row>
    <row r="99" spans="1:10" s="686" customFormat="1" ht="12.75">
      <c r="A99" s="720"/>
      <c r="D99" s="723"/>
      <c r="E99" s="723"/>
      <c r="F99" s="722"/>
      <c r="H99" s="684"/>
      <c r="J99" s="684" t="str">
        <f aca="true" t="shared" si="2" ref="J99:J162">IF(H99=0,"",F99*0.22)</f>
        <v/>
      </c>
    </row>
    <row r="100" ht="12.75">
      <c r="J100" s="684" t="str">
        <f t="shared" si="2"/>
        <v/>
      </c>
    </row>
    <row r="101" spans="1:10" s="686" customFormat="1" ht="12.75">
      <c r="A101" s="720"/>
      <c r="D101" s="723"/>
      <c r="E101" s="723"/>
      <c r="F101" s="722"/>
      <c r="H101" s="684"/>
      <c r="J101" s="684" t="str">
        <f t="shared" si="2"/>
        <v/>
      </c>
    </row>
    <row r="102" ht="12.75">
      <c r="J102" s="684" t="str">
        <f t="shared" si="2"/>
        <v/>
      </c>
    </row>
    <row r="103" ht="12.75">
      <c r="J103" s="684" t="str">
        <f t="shared" si="2"/>
        <v/>
      </c>
    </row>
    <row r="104" spans="1:10" s="686" customFormat="1" ht="12.75">
      <c r="A104" s="720"/>
      <c r="D104" s="723"/>
      <c r="E104" s="723"/>
      <c r="F104" s="722"/>
      <c r="H104" s="684"/>
      <c r="J104" s="684" t="str">
        <f t="shared" si="2"/>
        <v/>
      </c>
    </row>
    <row r="105" ht="12.75">
      <c r="J105" s="684" t="str">
        <f t="shared" si="2"/>
        <v/>
      </c>
    </row>
    <row r="106" spans="1:10" s="686" customFormat="1" ht="12.75">
      <c r="A106" s="720"/>
      <c r="D106" s="723"/>
      <c r="E106" s="723"/>
      <c r="F106" s="722"/>
      <c r="H106" s="684"/>
      <c r="J106" s="684" t="str">
        <f t="shared" si="2"/>
        <v/>
      </c>
    </row>
    <row r="107" ht="12.75">
      <c r="J107" s="684" t="str">
        <f t="shared" si="2"/>
        <v/>
      </c>
    </row>
    <row r="108" ht="12.75">
      <c r="J108" s="684" t="str">
        <f t="shared" si="2"/>
        <v/>
      </c>
    </row>
    <row r="109" ht="12.75">
      <c r="J109" s="684" t="str">
        <f t="shared" si="2"/>
        <v/>
      </c>
    </row>
    <row r="110" ht="12.75">
      <c r="J110" s="684" t="str">
        <f t="shared" si="2"/>
        <v/>
      </c>
    </row>
    <row r="111" ht="12.75">
      <c r="J111" s="684" t="str">
        <f t="shared" si="2"/>
        <v/>
      </c>
    </row>
    <row r="112" ht="12.75">
      <c r="J112" s="684" t="str">
        <f t="shared" si="2"/>
        <v/>
      </c>
    </row>
    <row r="113" ht="12.75">
      <c r="J113" s="684" t="str">
        <f t="shared" si="2"/>
        <v/>
      </c>
    </row>
    <row r="114" ht="12.75">
      <c r="J114" s="684" t="str">
        <f t="shared" si="2"/>
        <v/>
      </c>
    </row>
    <row r="115" ht="12.75">
      <c r="J115" s="684" t="str">
        <f t="shared" si="2"/>
        <v/>
      </c>
    </row>
    <row r="116" ht="12.75">
      <c r="J116" s="684" t="str">
        <f t="shared" si="2"/>
        <v/>
      </c>
    </row>
    <row r="117" ht="12.75">
      <c r="J117" s="684" t="str">
        <f t="shared" si="2"/>
        <v/>
      </c>
    </row>
    <row r="118" ht="12.75">
      <c r="J118" s="684" t="str">
        <f t="shared" si="2"/>
        <v/>
      </c>
    </row>
    <row r="119" ht="12.75">
      <c r="J119" s="684" t="str">
        <f t="shared" si="2"/>
        <v/>
      </c>
    </row>
    <row r="120" ht="12.75">
      <c r="J120" s="684" t="str">
        <f t="shared" si="2"/>
        <v/>
      </c>
    </row>
    <row r="121" ht="12.75">
      <c r="J121" s="684" t="str">
        <f t="shared" si="2"/>
        <v/>
      </c>
    </row>
    <row r="122" ht="12.75">
      <c r="J122" s="684" t="str">
        <f t="shared" si="2"/>
        <v/>
      </c>
    </row>
    <row r="123" ht="12.75">
      <c r="J123" s="684" t="str">
        <f t="shared" si="2"/>
        <v/>
      </c>
    </row>
    <row r="124" ht="12.75">
      <c r="J124" s="684" t="str">
        <f t="shared" si="2"/>
        <v/>
      </c>
    </row>
    <row r="125" ht="12.75">
      <c r="J125" s="684" t="str">
        <f t="shared" si="2"/>
        <v/>
      </c>
    </row>
    <row r="126" ht="12.75">
      <c r="J126" s="684" t="str">
        <f t="shared" si="2"/>
        <v/>
      </c>
    </row>
    <row r="127" ht="12.75">
      <c r="J127" s="684" t="str">
        <f t="shared" si="2"/>
        <v/>
      </c>
    </row>
    <row r="128" ht="12.75">
      <c r="J128" s="684" t="str">
        <f t="shared" si="2"/>
        <v/>
      </c>
    </row>
    <row r="129" ht="12.75">
      <c r="J129" s="684" t="str">
        <f t="shared" si="2"/>
        <v/>
      </c>
    </row>
    <row r="130" spans="1:10" s="686" customFormat="1" ht="12.75">
      <c r="A130" s="720"/>
      <c r="D130" s="723"/>
      <c r="E130" s="723"/>
      <c r="F130" s="722"/>
      <c r="H130" s="684"/>
      <c r="J130" s="684" t="str">
        <f t="shared" si="2"/>
        <v/>
      </c>
    </row>
    <row r="131" ht="12.75">
      <c r="J131" s="684" t="str">
        <f t="shared" si="2"/>
        <v/>
      </c>
    </row>
    <row r="132" spans="1:10" s="686" customFormat="1" ht="12.75">
      <c r="A132" s="720"/>
      <c r="D132" s="723"/>
      <c r="E132" s="723"/>
      <c r="F132" s="722"/>
      <c r="H132" s="684"/>
      <c r="J132" s="684" t="str">
        <f t="shared" si="2"/>
        <v/>
      </c>
    </row>
    <row r="133" ht="12.75">
      <c r="J133" s="684" t="str">
        <f t="shared" si="2"/>
        <v/>
      </c>
    </row>
    <row r="134" ht="12.75">
      <c r="J134" s="684" t="str">
        <f t="shared" si="2"/>
        <v/>
      </c>
    </row>
    <row r="135" ht="12.75">
      <c r="J135" s="684" t="str">
        <f t="shared" si="2"/>
        <v/>
      </c>
    </row>
    <row r="136" spans="1:10" s="686" customFormat="1" ht="12.75">
      <c r="A136" s="720"/>
      <c r="D136" s="723"/>
      <c r="E136" s="723"/>
      <c r="F136" s="722"/>
      <c r="H136" s="684"/>
      <c r="J136" s="684" t="str">
        <f t="shared" si="2"/>
        <v/>
      </c>
    </row>
    <row r="137" ht="12.75">
      <c r="J137" s="684" t="str">
        <f t="shared" si="2"/>
        <v/>
      </c>
    </row>
    <row r="138" spans="1:10" s="686" customFormat="1" ht="12.75">
      <c r="A138" s="720"/>
      <c r="D138" s="723"/>
      <c r="E138" s="723"/>
      <c r="F138" s="722"/>
      <c r="H138" s="684"/>
      <c r="J138" s="684" t="str">
        <f t="shared" si="2"/>
        <v/>
      </c>
    </row>
    <row r="139" ht="12.75">
      <c r="J139" s="684" t="str">
        <f t="shared" si="2"/>
        <v/>
      </c>
    </row>
    <row r="140" ht="12.75">
      <c r="J140" s="684" t="str">
        <f t="shared" si="2"/>
        <v/>
      </c>
    </row>
    <row r="141" ht="12.75">
      <c r="J141" s="684" t="str">
        <f t="shared" si="2"/>
        <v/>
      </c>
    </row>
    <row r="142" spans="1:10" s="686" customFormat="1" ht="12.75">
      <c r="A142" s="720"/>
      <c r="D142" s="723"/>
      <c r="E142" s="723"/>
      <c r="F142" s="722"/>
      <c r="H142" s="684"/>
      <c r="J142" s="684" t="str">
        <f t="shared" si="2"/>
        <v/>
      </c>
    </row>
    <row r="143" ht="12.75">
      <c r="J143" s="684" t="str">
        <f t="shared" si="2"/>
        <v/>
      </c>
    </row>
    <row r="144" spans="1:10" s="686" customFormat="1" ht="12.75">
      <c r="A144" s="720"/>
      <c r="D144" s="723"/>
      <c r="E144" s="723"/>
      <c r="F144" s="722"/>
      <c r="H144" s="684"/>
      <c r="J144" s="684" t="str">
        <f t="shared" si="2"/>
        <v/>
      </c>
    </row>
    <row r="145" ht="12.75">
      <c r="J145" s="684" t="str">
        <f t="shared" si="2"/>
        <v/>
      </c>
    </row>
    <row r="146" ht="12.75">
      <c r="J146" s="684" t="str">
        <f t="shared" si="2"/>
        <v/>
      </c>
    </row>
    <row r="147" ht="12.75">
      <c r="J147" s="684" t="str">
        <f t="shared" si="2"/>
        <v/>
      </c>
    </row>
    <row r="148" ht="12.75">
      <c r="J148" s="684" t="str">
        <f t="shared" si="2"/>
        <v/>
      </c>
    </row>
    <row r="149" spans="1:10" s="686" customFormat="1" ht="12.75">
      <c r="A149" s="720"/>
      <c r="D149" s="723"/>
      <c r="E149" s="723"/>
      <c r="F149" s="722"/>
      <c r="H149" s="684"/>
      <c r="J149" s="684" t="str">
        <f t="shared" si="2"/>
        <v/>
      </c>
    </row>
    <row r="150" ht="12.75">
      <c r="J150" s="684" t="str">
        <f t="shared" si="2"/>
        <v/>
      </c>
    </row>
    <row r="151" spans="1:10" s="686" customFormat="1" ht="12.75">
      <c r="A151" s="720"/>
      <c r="D151" s="723"/>
      <c r="E151" s="723"/>
      <c r="F151" s="722"/>
      <c r="H151" s="684"/>
      <c r="J151" s="684" t="str">
        <f t="shared" si="2"/>
        <v/>
      </c>
    </row>
    <row r="152" ht="12.75">
      <c r="J152" s="684" t="str">
        <f t="shared" si="2"/>
        <v/>
      </c>
    </row>
    <row r="153" ht="12.75">
      <c r="J153" s="684" t="str">
        <f t="shared" si="2"/>
        <v/>
      </c>
    </row>
    <row r="154" ht="12.75">
      <c r="J154" s="684" t="str">
        <f t="shared" si="2"/>
        <v/>
      </c>
    </row>
    <row r="155" spans="1:10" s="686" customFormat="1" ht="12.75">
      <c r="A155" s="720"/>
      <c r="D155" s="723"/>
      <c r="E155" s="723"/>
      <c r="F155" s="722"/>
      <c r="H155" s="684"/>
      <c r="J155" s="684" t="str">
        <f t="shared" si="2"/>
        <v/>
      </c>
    </row>
    <row r="156" ht="12.75">
      <c r="J156" s="684" t="str">
        <f t="shared" si="2"/>
        <v/>
      </c>
    </row>
    <row r="157" spans="1:10" s="686" customFormat="1" ht="12.75">
      <c r="A157" s="720"/>
      <c r="D157" s="723"/>
      <c r="E157" s="723"/>
      <c r="F157" s="722"/>
      <c r="H157" s="684"/>
      <c r="J157" s="684" t="str">
        <f t="shared" si="2"/>
        <v/>
      </c>
    </row>
    <row r="158" ht="12.75">
      <c r="J158" s="684" t="str">
        <f t="shared" si="2"/>
        <v/>
      </c>
    </row>
    <row r="159" ht="12.75">
      <c r="J159" s="684" t="str">
        <f t="shared" si="2"/>
        <v/>
      </c>
    </row>
    <row r="160" spans="1:10" s="686" customFormat="1" ht="12.75">
      <c r="A160" s="720"/>
      <c r="D160" s="723"/>
      <c r="E160" s="723"/>
      <c r="F160" s="722"/>
      <c r="H160" s="684"/>
      <c r="J160" s="684" t="str">
        <f t="shared" si="2"/>
        <v/>
      </c>
    </row>
    <row r="161" ht="12.75">
      <c r="J161" s="684" t="str">
        <f t="shared" si="2"/>
        <v/>
      </c>
    </row>
    <row r="162" ht="12.75">
      <c r="J162" s="684" t="str">
        <f t="shared" si="2"/>
        <v/>
      </c>
    </row>
    <row r="163" ht="12.75">
      <c r="J163" s="684" t="str">
        <f aca="true" t="shared" si="3" ref="J163:J226">IF(H163=0,"",F163*0.22)</f>
        <v/>
      </c>
    </row>
    <row r="164" ht="12.75">
      <c r="J164" s="684" t="str">
        <f t="shared" si="3"/>
        <v/>
      </c>
    </row>
    <row r="165" ht="12.75">
      <c r="J165" s="684" t="str">
        <f t="shared" si="3"/>
        <v/>
      </c>
    </row>
    <row r="166" ht="12.75">
      <c r="J166" s="684" t="str">
        <f t="shared" si="3"/>
        <v/>
      </c>
    </row>
    <row r="167" ht="12.75">
      <c r="J167" s="684" t="str">
        <f t="shared" si="3"/>
        <v/>
      </c>
    </row>
    <row r="168" ht="12.75">
      <c r="J168" s="684" t="str">
        <f t="shared" si="3"/>
        <v/>
      </c>
    </row>
    <row r="169" ht="12.75">
      <c r="J169" s="684" t="str">
        <f t="shared" si="3"/>
        <v/>
      </c>
    </row>
    <row r="170" ht="12.75">
      <c r="J170" s="684" t="str">
        <f t="shared" si="3"/>
        <v/>
      </c>
    </row>
    <row r="171" ht="12.75">
      <c r="J171" s="684" t="str">
        <f t="shared" si="3"/>
        <v/>
      </c>
    </row>
    <row r="172" ht="12.75">
      <c r="J172" s="684" t="str">
        <f t="shared" si="3"/>
        <v/>
      </c>
    </row>
    <row r="173" ht="12.75">
      <c r="J173" s="684" t="str">
        <f t="shared" si="3"/>
        <v/>
      </c>
    </row>
    <row r="174" ht="12.75">
      <c r="J174" s="684" t="str">
        <f t="shared" si="3"/>
        <v/>
      </c>
    </row>
    <row r="175" ht="12.75">
      <c r="J175" s="684" t="str">
        <f t="shared" si="3"/>
        <v/>
      </c>
    </row>
    <row r="176" ht="12.75">
      <c r="J176" s="684" t="str">
        <f t="shared" si="3"/>
        <v/>
      </c>
    </row>
    <row r="177" ht="12.75">
      <c r="J177" s="684" t="str">
        <f t="shared" si="3"/>
        <v/>
      </c>
    </row>
    <row r="178" ht="12.75">
      <c r="J178" s="684" t="str">
        <f t="shared" si="3"/>
        <v/>
      </c>
    </row>
    <row r="179" ht="12.75">
      <c r="J179" s="684" t="str">
        <f t="shared" si="3"/>
        <v/>
      </c>
    </row>
    <row r="180" ht="12.75">
      <c r="J180" s="684" t="str">
        <f t="shared" si="3"/>
        <v/>
      </c>
    </row>
    <row r="181" ht="12.75">
      <c r="J181" s="684" t="str">
        <f t="shared" si="3"/>
        <v/>
      </c>
    </row>
    <row r="182" ht="12.75">
      <c r="J182" s="684" t="str">
        <f t="shared" si="3"/>
        <v/>
      </c>
    </row>
    <row r="183" ht="12.75">
      <c r="J183" s="684" t="str">
        <f t="shared" si="3"/>
        <v/>
      </c>
    </row>
    <row r="184" ht="12.75">
      <c r="J184" s="684" t="str">
        <f t="shared" si="3"/>
        <v/>
      </c>
    </row>
    <row r="185" ht="12.75">
      <c r="J185" s="684" t="str">
        <f t="shared" si="3"/>
        <v/>
      </c>
    </row>
    <row r="186" ht="12.75">
      <c r="J186" s="684" t="str">
        <f t="shared" si="3"/>
        <v/>
      </c>
    </row>
    <row r="187" ht="12.75">
      <c r="J187" s="684" t="str">
        <f t="shared" si="3"/>
        <v/>
      </c>
    </row>
    <row r="188" ht="12.75">
      <c r="J188" s="684" t="str">
        <f t="shared" si="3"/>
        <v/>
      </c>
    </row>
    <row r="189" ht="12.75">
      <c r="J189" s="684" t="str">
        <f t="shared" si="3"/>
        <v/>
      </c>
    </row>
    <row r="190" ht="12.75">
      <c r="J190" s="684" t="str">
        <f t="shared" si="3"/>
        <v/>
      </c>
    </row>
    <row r="191" ht="12.75">
      <c r="J191" s="684" t="str">
        <f t="shared" si="3"/>
        <v/>
      </c>
    </row>
    <row r="192" ht="12.75">
      <c r="J192" s="684" t="str">
        <f t="shared" si="3"/>
        <v/>
      </c>
    </row>
    <row r="193" ht="12.75">
      <c r="J193" s="684" t="str">
        <f t="shared" si="3"/>
        <v/>
      </c>
    </row>
    <row r="194" ht="12.75">
      <c r="J194" s="684" t="str">
        <f t="shared" si="3"/>
        <v/>
      </c>
    </row>
    <row r="195" ht="12.75">
      <c r="J195" s="684" t="str">
        <f t="shared" si="3"/>
        <v/>
      </c>
    </row>
    <row r="196" ht="12.75">
      <c r="J196" s="684" t="str">
        <f t="shared" si="3"/>
        <v/>
      </c>
    </row>
    <row r="197" ht="12.75">
      <c r="J197" s="684" t="str">
        <f t="shared" si="3"/>
        <v/>
      </c>
    </row>
    <row r="198" ht="12.75">
      <c r="J198" s="684" t="str">
        <f t="shared" si="3"/>
        <v/>
      </c>
    </row>
    <row r="199" ht="12.75">
      <c r="J199" s="684" t="str">
        <f t="shared" si="3"/>
        <v/>
      </c>
    </row>
    <row r="200" ht="12.75">
      <c r="J200" s="684" t="str">
        <f t="shared" si="3"/>
        <v/>
      </c>
    </row>
    <row r="201" ht="12.75">
      <c r="J201" s="684" t="str">
        <f t="shared" si="3"/>
        <v/>
      </c>
    </row>
    <row r="202" ht="12.75">
      <c r="J202" s="684" t="str">
        <f t="shared" si="3"/>
        <v/>
      </c>
    </row>
    <row r="203" ht="12.75">
      <c r="J203" s="684" t="str">
        <f t="shared" si="3"/>
        <v/>
      </c>
    </row>
    <row r="204" ht="12.75">
      <c r="J204" s="684" t="str">
        <f t="shared" si="3"/>
        <v/>
      </c>
    </row>
    <row r="205" ht="12.75">
      <c r="J205" s="684" t="str">
        <f t="shared" si="3"/>
        <v/>
      </c>
    </row>
    <row r="206" ht="12.75">
      <c r="J206" s="684" t="str">
        <f t="shared" si="3"/>
        <v/>
      </c>
    </row>
    <row r="207" ht="12.75">
      <c r="J207" s="684" t="str">
        <f t="shared" si="3"/>
        <v/>
      </c>
    </row>
    <row r="208" ht="12.75">
      <c r="J208" s="684" t="str">
        <f t="shared" si="3"/>
        <v/>
      </c>
    </row>
    <row r="209" ht="12.75">
      <c r="J209" s="684" t="str">
        <f t="shared" si="3"/>
        <v/>
      </c>
    </row>
    <row r="210" ht="12.75">
      <c r="J210" s="684" t="str">
        <f t="shared" si="3"/>
        <v/>
      </c>
    </row>
    <row r="211" ht="12.75">
      <c r="J211" s="684" t="str">
        <f t="shared" si="3"/>
        <v/>
      </c>
    </row>
    <row r="212" ht="12.75">
      <c r="J212" s="684" t="str">
        <f t="shared" si="3"/>
        <v/>
      </c>
    </row>
    <row r="213" ht="12.75">
      <c r="J213" s="684" t="str">
        <f t="shared" si="3"/>
        <v/>
      </c>
    </row>
    <row r="214" ht="12.75">
      <c r="J214" s="684" t="str">
        <f t="shared" si="3"/>
        <v/>
      </c>
    </row>
    <row r="215" ht="12.75">
      <c r="J215" s="684" t="str">
        <f t="shared" si="3"/>
        <v/>
      </c>
    </row>
    <row r="216" ht="12.75">
      <c r="J216" s="684" t="str">
        <f t="shared" si="3"/>
        <v/>
      </c>
    </row>
    <row r="217" ht="12.75">
      <c r="J217" s="684" t="str">
        <f t="shared" si="3"/>
        <v/>
      </c>
    </row>
    <row r="218" ht="12.75">
      <c r="J218" s="684" t="str">
        <f t="shared" si="3"/>
        <v/>
      </c>
    </row>
    <row r="219" ht="12.75">
      <c r="J219" s="684" t="str">
        <f t="shared" si="3"/>
        <v/>
      </c>
    </row>
    <row r="220" ht="12.75">
      <c r="J220" s="684" t="str">
        <f t="shared" si="3"/>
        <v/>
      </c>
    </row>
    <row r="221" ht="12.75">
      <c r="J221" s="684" t="str">
        <f t="shared" si="3"/>
        <v/>
      </c>
    </row>
    <row r="222" ht="12.75">
      <c r="J222" s="684" t="str">
        <f t="shared" si="3"/>
        <v/>
      </c>
    </row>
    <row r="223" ht="12.75">
      <c r="J223" s="684" t="str">
        <f t="shared" si="3"/>
        <v/>
      </c>
    </row>
    <row r="224" ht="12.75">
      <c r="J224" s="684" t="str">
        <f t="shared" si="3"/>
        <v/>
      </c>
    </row>
    <row r="225" ht="12.75">
      <c r="J225" s="684" t="str">
        <f t="shared" si="3"/>
        <v/>
      </c>
    </row>
    <row r="226" ht="12.75">
      <c r="J226" s="684" t="str">
        <f t="shared" si="3"/>
        <v/>
      </c>
    </row>
    <row r="227" ht="12.75">
      <c r="J227" s="684" t="str">
        <f aca="true" t="shared" si="4" ref="J227:J290">IF(H227=0,"",F227*0.22)</f>
        <v/>
      </c>
    </row>
    <row r="228" ht="12.75">
      <c r="J228" s="684" t="str">
        <f t="shared" si="4"/>
        <v/>
      </c>
    </row>
    <row r="229" ht="12.75">
      <c r="J229" s="684" t="str">
        <f t="shared" si="4"/>
        <v/>
      </c>
    </row>
    <row r="230" ht="12.75">
      <c r="J230" s="684" t="str">
        <f t="shared" si="4"/>
        <v/>
      </c>
    </row>
    <row r="231" ht="12.75">
      <c r="J231" s="684" t="str">
        <f t="shared" si="4"/>
        <v/>
      </c>
    </row>
    <row r="232" ht="12.75">
      <c r="J232" s="684" t="str">
        <f t="shared" si="4"/>
        <v/>
      </c>
    </row>
    <row r="233" ht="12.75">
      <c r="J233" s="684" t="str">
        <f t="shared" si="4"/>
        <v/>
      </c>
    </row>
    <row r="234" ht="12.75">
      <c r="J234" s="684" t="str">
        <f t="shared" si="4"/>
        <v/>
      </c>
    </row>
    <row r="235" ht="12.75">
      <c r="J235" s="684" t="str">
        <f t="shared" si="4"/>
        <v/>
      </c>
    </row>
    <row r="236" ht="12.75">
      <c r="J236" s="684" t="str">
        <f t="shared" si="4"/>
        <v/>
      </c>
    </row>
    <row r="237" ht="12.75">
      <c r="J237" s="684" t="str">
        <f t="shared" si="4"/>
        <v/>
      </c>
    </row>
    <row r="238" ht="12.75">
      <c r="J238" s="684" t="str">
        <f t="shared" si="4"/>
        <v/>
      </c>
    </row>
    <row r="239" ht="12.75">
      <c r="J239" s="684" t="str">
        <f t="shared" si="4"/>
        <v/>
      </c>
    </row>
    <row r="240" ht="12.75">
      <c r="J240" s="684" t="str">
        <f t="shared" si="4"/>
        <v/>
      </c>
    </row>
    <row r="241" ht="12.75">
      <c r="J241" s="684" t="str">
        <f t="shared" si="4"/>
        <v/>
      </c>
    </row>
    <row r="242" ht="12.75">
      <c r="J242" s="684" t="str">
        <f t="shared" si="4"/>
        <v/>
      </c>
    </row>
    <row r="243" ht="12.75">
      <c r="J243" s="684" t="str">
        <f t="shared" si="4"/>
        <v/>
      </c>
    </row>
    <row r="244" ht="12.75">
      <c r="J244" s="684" t="str">
        <f t="shared" si="4"/>
        <v/>
      </c>
    </row>
    <row r="245" ht="12.75">
      <c r="J245" s="684" t="str">
        <f t="shared" si="4"/>
        <v/>
      </c>
    </row>
    <row r="246" ht="12.75">
      <c r="J246" s="684" t="str">
        <f t="shared" si="4"/>
        <v/>
      </c>
    </row>
    <row r="247" ht="12.75">
      <c r="J247" s="684" t="str">
        <f t="shared" si="4"/>
        <v/>
      </c>
    </row>
    <row r="248" ht="12.75">
      <c r="J248" s="684" t="str">
        <f t="shared" si="4"/>
        <v/>
      </c>
    </row>
    <row r="249" ht="12.75">
      <c r="J249" s="684" t="str">
        <f t="shared" si="4"/>
        <v/>
      </c>
    </row>
    <row r="250" ht="12.75">
      <c r="J250" s="684" t="str">
        <f t="shared" si="4"/>
        <v/>
      </c>
    </row>
    <row r="251" ht="12.75">
      <c r="J251" s="684" t="str">
        <f t="shared" si="4"/>
        <v/>
      </c>
    </row>
    <row r="252" ht="12.75">
      <c r="J252" s="684" t="str">
        <f t="shared" si="4"/>
        <v/>
      </c>
    </row>
    <row r="253" ht="12.75">
      <c r="J253" s="684" t="str">
        <f t="shared" si="4"/>
        <v/>
      </c>
    </row>
    <row r="254" ht="12.75">
      <c r="J254" s="684" t="str">
        <f t="shared" si="4"/>
        <v/>
      </c>
    </row>
    <row r="255" ht="12.75">
      <c r="J255" s="684" t="str">
        <f t="shared" si="4"/>
        <v/>
      </c>
    </row>
    <row r="256" ht="12.75">
      <c r="J256" s="684" t="str">
        <f t="shared" si="4"/>
        <v/>
      </c>
    </row>
    <row r="257" ht="12.75">
      <c r="J257" s="684" t="str">
        <f t="shared" si="4"/>
        <v/>
      </c>
    </row>
    <row r="258" ht="12.75">
      <c r="J258" s="684" t="str">
        <f t="shared" si="4"/>
        <v/>
      </c>
    </row>
    <row r="259" ht="12.75">
      <c r="J259" s="684" t="str">
        <f t="shared" si="4"/>
        <v/>
      </c>
    </row>
    <row r="260" ht="12.75">
      <c r="J260" s="684" t="str">
        <f t="shared" si="4"/>
        <v/>
      </c>
    </row>
    <row r="261" ht="12.75">
      <c r="J261" s="684" t="str">
        <f t="shared" si="4"/>
        <v/>
      </c>
    </row>
    <row r="262" ht="12.75">
      <c r="J262" s="684" t="str">
        <f t="shared" si="4"/>
        <v/>
      </c>
    </row>
    <row r="263" ht="12.75">
      <c r="J263" s="684" t="str">
        <f t="shared" si="4"/>
        <v/>
      </c>
    </row>
    <row r="264" ht="12.75">
      <c r="J264" s="684" t="str">
        <f t="shared" si="4"/>
        <v/>
      </c>
    </row>
    <row r="265" ht="12.75">
      <c r="J265" s="684" t="str">
        <f t="shared" si="4"/>
        <v/>
      </c>
    </row>
    <row r="266" ht="12.75">
      <c r="J266" s="684" t="str">
        <f t="shared" si="4"/>
        <v/>
      </c>
    </row>
    <row r="267" ht="12.75">
      <c r="J267" s="684" t="str">
        <f t="shared" si="4"/>
        <v/>
      </c>
    </row>
    <row r="268" ht="12.75">
      <c r="J268" s="684" t="str">
        <f t="shared" si="4"/>
        <v/>
      </c>
    </row>
    <row r="269" ht="12.75">
      <c r="J269" s="684" t="str">
        <f t="shared" si="4"/>
        <v/>
      </c>
    </row>
    <row r="270" ht="12.75">
      <c r="J270" s="684" t="str">
        <f t="shared" si="4"/>
        <v/>
      </c>
    </row>
    <row r="271" ht="12.75">
      <c r="J271" s="684" t="str">
        <f t="shared" si="4"/>
        <v/>
      </c>
    </row>
    <row r="272" ht="12.75">
      <c r="J272" s="684" t="str">
        <f t="shared" si="4"/>
        <v/>
      </c>
    </row>
    <row r="273" ht="12.75">
      <c r="J273" s="684" t="str">
        <f t="shared" si="4"/>
        <v/>
      </c>
    </row>
    <row r="274" ht="12.75">
      <c r="J274" s="684" t="str">
        <f t="shared" si="4"/>
        <v/>
      </c>
    </row>
    <row r="275" ht="12.75">
      <c r="J275" s="684" t="str">
        <f t="shared" si="4"/>
        <v/>
      </c>
    </row>
    <row r="276" ht="12.75">
      <c r="J276" s="684" t="str">
        <f t="shared" si="4"/>
        <v/>
      </c>
    </row>
    <row r="277" ht="12.75">
      <c r="J277" s="684" t="str">
        <f t="shared" si="4"/>
        <v/>
      </c>
    </row>
    <row r="278" ht="12.75">
      <c r="J278" s="684" t="str">
        <f t="shared" si="4"/>
        <v/>
      </c>
    </row>
    <row r="279" ht="12.75">
      <c r="J279" s="684" t="str">
        <f t="shared" si="4"/>
        <v/>
      </c>
    </row>
    <row r="280" ht="12.75">
      <c r="J280" s="684" t="str">
        <f t="shared" si="4"/>
        <v/>
      </c>
    </row>
    <row r="281" ht="12.75">
      <c r="J281" s="684" t="str">
        <f t="shared" si="4"/>
        <v/>
      </c>
    </row>
    <row r="282" ht="12.75">
      <c r="J282" s="684" t="str">
        <f t="shared" si="4"/>
        <v/>
      </c>
    </row>
    <row r="283" ht="12.75">
      <c r="J283" s="684" t="str">
        <f t="shared" si="4"/>
        <v/>
      </c>
    </row>
    <row r="284" ht="12.75">
      <c r="J284" s="684" t="str">
        <f t="shared" si="4"/>
        <v/>
      </c>
    </row>
    <row r="285" ht="12.75">
      <c r="J285" s="684" t="str">
        <f t="shared" si="4"/>
        <v/>
      </c>
    </row>
    <row r="286" ht="12.75">
      <c r="J286" s="684" t="str">
        <f t="shared" si="4"/>
        <v/>
      </c>
    </row>
    <row r="287" ht="12.75">
      <c r="J287" s="684" t="str">
        <f t="shared" si="4"/>
        <v/>
      </c>
    </row>
    <row r="288" ht="12.75">
      <c r="J288" s="684" t="str">
        <f t="shared" si="4"/>
        <v/>
      </c>
    </row>
    <row r="289" ht="12.75">
      <c r="J289" s="684" t="str">
        <f t="shared" si="4"/>
        <v/>
      </c>
    </row>
    <row r="290" ht="12.75">
      <c r="J290" s="684" t="str">
        <f t="shared" si="4"/>
        <v/>
      </c>
    </row>
    <row r="291" ht="12.75">
      <c r="J291" s="684" t="str">
        <f aca="true" t="shared" si="5" ref="J291:J320">IF(H291=0,"",F291*0.22)</f>
        <v/>
      </c>
    </row>
    <row r="292" ht="12.75">
      <c r="J292" s="684" t="str">
        <f t="shared" si="5"/>
        <v/>
      </c>
    </row>
    <row r="293" ht="12.75">
      <c r="J293" s="684" t="str">
        <f t="shared" si="5"/>
        <v/>
      </c>
    </row>
    <row r="294" ht="12.75">
      <c r="J294" s="684" t="str">
        <f t="shared" si="5"/>
        <v/>
      </c>
    </row>
    <row r="295" ht="12.75">
      <c r="J295" s="684" t="str">
        <f t="shared" si="5"/>
        <v/>
      </c>
    </row>
    <row r="296" ht="12.75">
      <c r="J296" s="684" t="str">
        <f t="shared" si="5"/>
        <v/>
      </c>
    </row>
    <row r="297" ht="12.75">
      <c r="J297" s="684" t="str">
        <f t="shared" si="5"/>
        <v/>
      </c>
    </row>
    <row r="298" ht="12.75">
      <c r="J298" s="684" t="str">
        <f t="shared" si="5"/>
        <v/>
      </c>
    </row>
    <row r="299" ht="12.75">
      <c r="J299" s="684" t="str">
        <f t="shared" si="5"/>
        <v/>
      </c>
    </row>
    <row r="300" ht="12.75">
      <c r="J300" s="684" t="str">
        <f t="shared" si="5"/>
        <v/>
      </c>
    </row>
    <row r="301" ht="12.75">
      <c r="J301" s="684" t="str">
        <f t="shared" si="5"/>
        <v/>
      </c>
    </row>
    <row r="302" ht="12.75">
      <c r="J302" s="684" t="str">
        <f t="shared" si="5"/>
        <v/>
      </c>
    </row>
    <row r="303" ht="12.75">
      <c r="J303" s="684" t="str">
        <f t="shared" si="5"/>
        <v/>
      </c>
    </row>
    <row r="304" ht="12.75">
      <c r="J304" s="684" t="str">
        <f t="shared" si="5"/>
        <v/>
      </c>
    </row>
    <row r="305" ht="12.75">
      <c r="J305" s="684" t="str">
        <f t="shared" si="5"/>
        <v/>
      </c>
    </row>
    <row r="306" ht="12.75">
      <c r="J306" s="684" t="str">
        <f t="shared" si="5"/>
        <v/>
      </c>
    </row>
    <row r="307" ht="12.75">
      <c r="J307" s="684" t="str">
        <f t="shared" si="5"/>
        <v/>
      </c>
    </row>
    <row r="308" ht="12.75">
      <c r="J308" s="684" t="str">
        <f t="shared" si="5"/>
        <v/>
      </c>
    </row>
    <row r="309" ht="12.75">
      <c r="J309" s="684" t="str">
        <f t="shared" si="5"/>
        <v/>
      </c>
    </row>
    <row r="310" ht="12.75">
      <c r="J310" s="684" t="str">
        <f t="shared" si="5"/>
        <v/>
      </c>
    </row>
    <row r="311" ht="12.75">
      <c r="J311" s="684" t="str">
        <f t="shared" si="5"/>
        <v/>
      </c>
    </row>
    <row r="312" ht="12.75">
      <c r="J312" s="684" t="str">
        <f t="shared" si="5"/>
        <v/>
      </c>
    </row>
    <row r="313" ht="12.75">
      <c r="J313" s="684" t="str">
        <f t="shared" si="5"/>
        <v/>
      </c>
    </row>
    <row r="314" ht="12.75">
      <c r="J314" s="684" t="str">
        <f t="shared" si="5"/>
        <v/>
      </c>
    </row>
    <row r="315" ht="12.75">
      <c r="J315" s="684" t="str">
        <f t="shared" si="5"/>
        <v/>
      </c>
    </row>
    <row r="316" ht="12.75">
      <c r="J316" s="684" t="str">
        <f t="shared" si="5"/>
        <v/>
      </c>
    </row>
    <row r="317" ht="12.75">
      <c r="J317" s="684" t="str">
        <f t="shared" si="5"/>
        <v/>
      </c>
    </row>
    <row r="318" ht="12.75">
      <c r="J318" s="684" t="str">
        <f t="shared" si="5"/>
        <v/>
      </c>
    </row>
    <row r="319" ht="12.75">
      <c r="J319" s="684" t="str">
        <f t="shared" si="5"/>
        <v/>
      </c>
    </row>
    <row r="320" ht="12.75">
      <c r="J320" s="684" t="str">
        <f t="shared" si="5"/>
        <v/>
      </c>
    </row>
  </sheetData>
  <printOptions/>
  <pageMargins left="0.59" right="0.39" top="0.984251968503937" bottom="0.984251968503937" header="0.5118110236220472" footer="0.61"/>
  <pageSetup horizontalDpi="300" verticalDpi="300" orientation="portrait" paperSize="9" r:id="rId1"/>
  <headerFooter alignWithMargins="0">
    <oddFooter>&amp;C&amp;"Times New Roman,Obyčejné"&amp;9Stránka &amp;P z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53"/>
  <sheetViews>
    <sheetView workbookViewId="0" topLeftCell="A31">
      <selection activeCell="F68" sqref="F68"/>
    </sheetView>
  </sheetViews>
  <sheetFormatPr defaultColWidth="14.375" defaultRowHeight="12.75"/>
  <cols>
    <col min="1" max="1" width="9.375" style="682" customWidth="1"/>
    <col min="2" max="2" width="42.00390625" style="684" customWidth="1"/>
    <col min="3" max="3" width="5.375" style="684" customWidth="1"/>
    <col min="4" max="4" width="8.375" style="685" customWidth="1"/>
    <col min="5" max="5" width="11.50390625" style="685" customWidth="1"/>
    <col min="6" max="6" width="12.00390625" style="718" customWidth="1"/>
    <col min="7" max="256" width="14.375" style="684" customWidth="1"/>
    <col min="257" max="257" width="9.375" style="684" customWidth="1"/>
    <col min="258" max="258" width="42.00390625" style="684" customWidth="1"/>
    <col min="259" max="259" width="5.375" style="684" customWidth="1"/>
    <col min="260" max="260" width="8.375" style="684" customWidth="1"/>
    <col min="261" max="261" width="11.50390625" style="684" customWidth="1"/>
    <col min="262" max="262" width="12.00390625" style="684" customWidth="1"/>
    <col min="263" max="512" width="14.375" style="684" customWidth="1"/>
    <col min="513" max="513" width="9.375" style="684" customWidth="1"/>
    <col min="514" max="514" width="42.00390625" style="684" customWidth="1"/>
    <col min="515" max="515" width="5.375" style="684" customWidth="1"/>
    <col min="516" max="516" width="8.375" style="684" customWidth="1"/>
    <col min="517" max="517" width="11.50390625" style="684" customWidth="1"/>
    <col min="518" max="518" width="12.00390625" style="684" customWidth="1"/>
    <col min="519" max="768" width="14.375" style="684" customWidth="1"/>
    <col min="769" max="769" width="9.375" style="684" customWidth="1"/>
    <col min="770" max="770" width="42.00390625" style="684" customWidth="1"/>
    <col min="771" max="771" width="5.375" style="684" customWidth="1"/>
    <col min="772" max="772" width="8.375" style="684" customWidth="1"/>
    <col min="773" max="773" width="11.50390625" style="684" customWidth="1"/>
    <col min="774" max="774" width="12.00390625" style="684" customWidth="1"/>
    <col min="775" max="1024" width="14.375" style="684" customWidth="1"/>
    <col min="1025" max="1025" width="9.375" style="684" customWidth="1"/>
    <col min="1026" max="1026" width="42.00390625" style="684" customWidth="1"/>
    <col min="1027" max="1027" width="5.375" style="684" customWidth="1"/>
    <col min="1028" max="1028" width="8.375" style="684" customWidth="1"/>
    <col min="1029" max="1029" width="11.50390625" style="684" customWidth="1"/>
    <col min="1030" max="1030" width="12.00390625" style="684" customWidth="1"/>
    <col min="1031" max="1280" width="14.375" style="684" customWidth="1"/>
    <col min="1281" max="1281" width="9.375" style="684" customWidth="1"/>
    <col min="1282" max="1282" width="42.00390625" style="684" customWidth="1"/>
    <col min="1283" max="1283" width="5.375" style="684" customWidth="1"/>
    <col min="1284" max="1284" width="8.375" style="684" customWidth="1"/>
    <col min="1285" max="1285" width="11.50390625" style="684" customWidth="1"/>
    <col min="1286" max="1286" width="12.00390625" style="684" customWidth="1"/>
    <col min="1287" max="1536" width="14.375" style="684" customWidth="1"/>
    <col min="1537" max="1537" width="9.375" style="684" customWidth="1"/>
    <col min="1538" max="1538" width="42.00390625" style="684" customWidth="1"/>
    <col min="1539" max="1539" width="5.375" style="684" customWidth="1"/>
    <col min="1540" max="1540" width="8.375" style="684" customWidth="1"/>
    <col min="1541" max="1541" width="11.50390625" style="684" customWidth="1"/>
    <col min="1542" max="1542" width="12.00390625" style="684" customWidth="1"/>
    <col min="1543" max="1792" width="14.375" style="684" customWidth="1"/>
    <col min="1793" max="1793" width="9.375" style="684" customWidth="1"/>
    <col min="1794" max="1794" width="42.00390625" style="684" customWidth="1"/>
    <col min="1795" max="1795" width="5.375" style="684" customWidth="1"/>
    <col min="1796" max="1796" width="8.375" style="684" customWidth="1"/>
    <col min="1797" max="1797" width="11.50390625" style="684" customWidth="1"/>
    <col min="1798" max="1798" width="12.00390625" style="684" customWidth="1"/>
    <col min="1799" max="2048" width="14.375" style="684" customWidth="1"/>
    <col min="2049" max="2049" width="9.375" style="684" customWidth="1"/>
    <col min="2050" max="2050" width="42.00390625" style="684" customWidth="1"/>
    <col min="2051" max="2051" width="5.375" style="684" customWidth="1"/>
    <col min="2052" max="2052" width="8.375" style="684" customWidth="1"/>
    <col min="2053" max="2053" width="11.50390625" style="684" customWidth="1"/>
    <col min="2054" max="2054" width="12.00390625" style="684" customWidth="1"/>
    <col min="2055" max="2304" width="14.375" style="684" customWidth="1"/>
    <col min="2305" max="2305" width="9.375" style="684" customWidth="1"/>
    <col min="2306" max="2306" width="42.00390625" style="684" customWidth="1"/>
    <col min="2307" max="2307" width="5.375" style="684" customWidth="1"/>
    <col min="2308" max="2308" width="8.375" style="684" customWidth="1"/>
    <col min="2309" max="2309" width="11.50390625" style="684" customWidth="1"/>
    <col min="2310" max="2310" width="12.00390625" style="684" customWidth="1"/>
    <col min="2311" max="2560" width="14.375" style="684" customWidth="1"/>
    <col min="2561" max="2561" width="9.375" style="684" customWidth="1"/>
    <col min="2562" max="2562" width="42.00390625" style="684" customWidth="1"/>
    <col min="2563" max="2563" width="5.375" style="684" customWidth="1"/>
    <col min="2564" max="2564" width="8.375" style="684" customWidth="1"/>
    <col min="2565" max="2565" width="11.50390625" style="684" customWidth="1"/>
    <col min="2566" max="2566" width="12.00390625" style="684" customWidth="1"/>
    <col min="2567" max="2816" width="14.375" style="684" customWidth="1"/>
    <col min="2817" max="2817" width="9.375" style="684" customWidth="1"/>
    <col min="2818" max="2818" width="42.00390625" style="684" customWidth="1"/>
    <col min="2819" max="2819" width="5.375" style="684" customWidth="1"/>
    <col min="2820" max="2820" width="8.375" style="684" customWidth="1"/>
    <col min="2821" max="2821" width="11.50390625" style="684" customWidth="1"/>
    <col min="2822" max="2822" width="12.00390625" style="684" customWidth="1"/>
    <col min="2823" max="3072" width="14.375" style="684" customWidth="1"/>
    <col min="3073" max="3073" width="9.375" style="684" customWidth="1"/>
    <col min="3074" max="3074" width="42.00390625" style="684" customWidth="1"/>
    <col min="3075" max="3075" width="5.375" style="684" customWidth="1"/>
    <col min="3076" max="3076" width="8.375" style="684" customWidth="1"/>
    <col min="3077" max="3077" width="11.50390625" style="684" customWidth="1"/>
    <col min="3078" max="3078" width="12.00390625" style="684" customWidth="1"/>
    <col min="3079" max="3328" width="14.375" style="684" customWidth="1"/>
    <col min="3329" max="3329" width="9.375" style="684" customWidth="1"/>
    <col min="3330" max="3330" width="42.00390625" style="684" customWidth="1"/>
    <col min="3331" max="3331" width="5.375" style="684" customWidth="1"/>
    <col min="3332" max="3332" width="8.375" style="684" customWidth="1"/>
    <col min="3333" max="3333" width="11.50390625" style="684" customWidth="1"/>
    <col min="3334" max="3334" width="12.00390625" style="684" customWidth="1"/>
    <col min="3335" max="3584" width="14.375" style="684" customWidth="1"/>
    <col min="3585" max="3585" width="9.375" style="684" customWidth="1"/>
    <col min="3586" max="3586" width="42.00390625" style="684" customWidth="1"/>
    <col min="3587" max="3587" width="5.375" style="684" customWidth="1"/>
    <col min="3588" max="3588" width="8.375" style="684" customWidth="1"/>
    <col min="3589" max="3589" width="11.50390625" style="684" customWidth="1"/>
    <col min="3590" max="3590" width="12.00390625" style="684" customWidth="1"/>
    <col min="3591" max="3840" width="14.375" style="684" customWidth="1"/>
    <col min="3841" max="3841" width="9.375" style="684" customWidth="1"/>
    <col min="3842" max="3842" width="42.00390625" style="684" customWidth="1"/>
    <col min="3843" max="3843" width="5.375" style="684" customWidth="1"/>
    <col min="3844" max="3844" width="8.375" style="684" customWidth="1"/>
    <col min="3845" max="3845" width="11.50390625" style="684" customWidth="1"/>
    <col min="3846" max="3846" width="12.00390625" style="684" customWidth="1"/>
    <col min="3847" max="4096" width="14.375" style="684" customWidth="1"/>
    <col min="4097" max="4097" width="9.375" style="684" customWidth="1"/>
    <col min="4098" max="4098" width="42.00390625" style="684" customWidth="1"/>
    <col min="4099" max="4099" width="5.375" style="684" customWidth="1"/>
    <col min="4100" max="4100" width="8.375" style="684" customWidth="1"/>
    <col min="4101" max="4101" width="11.50390625" style="684" customWidth="1"/>
    <col min="4102" max="4102" width="12.00390625" style="684" customWidth="1"/>
    <col min="4103" max="4352" width="14.375" style="684" customWidth="1"/>
    <col min="4353" max="4353" width="9.375" style="684" customWidth="1"/>
    <col min="4354" max="4354" width="42.00390625" style="684" customWidth="1"/>
    <col min="4355" max="4355" width="5.375" style="684" customWidth="1"/>
    <col min="4356" max="4356" width="8.375" style="684" customWidth="1"/>
    <col min="4357" max="4357" width="11.50390625" style="684" customWidth="1"/>
    <col min="4358" max="4358" width="12.00390625" style="684" customWidth="1"/>
    <col min="4359" max="4608" width="14.375" style="684" customWidth="1"/>
    <col min="4609" max="4609" width="9.375" style="684" customWidth="1"/>
    <col min="4610" max="4610" width="42.00390625" style="684" customWidth="1"/>
    <col min="4611" max="4611" width="5.375" style="684" customWidth="1"/>
    <col min="4612" max="4612" width="8.375" style="684" customWidth="1"/>
    <col min="4613" max="4613" width="11.50390625" style="684" customWidth="1"/>
    <col min="4614" max="4614" width="12.00390625" style="684" customWidth="1"/>
    <col min="4615" max="4864" width="14.375" style="684" customWidth="1"/>
    <col min="4865" max="4865" width="9.375" style="684" customWidth="1"/>
    <col min="4866" max="4866" width="42.00390625" style="684" customWidth="1"/>
    <col min="4867" max="4867" width="5.375" style="684" customWidth="1"/>
    <col min="4868" max="4868" width="8.375" style="684" customWidth="1"/>
    <col min="4869" max="4869" width="11.50390625" style="684" customWidth="1"/>
    <col min="4870" max="4870" width="12.00390625" style="684" customWidth="1"/>
    <col min="4871" max="5120" width="14.375" style="684" customWidth="1"/>
    <col min="5121" max="5121" width="9.375" style="684" customWidth="1"/>
    <col min="5122" max="5122" width="42.00390625" style="684" customWidth="1"/>
    <col min="5123" max="5123" width="5.375" style="684" customWidth="1"/>
    <col min="5124" max="5124" width="8.375" style="684" customWidth="1"/>
    <col min="5125" max="5125" width="11.50390625" style="684" customWidth="1"/>
    <col min="5126" max="5126" width="12.00390625" style="684" customWidth="1"/>
    <col min="5127" max="5376" width="14.375" style="684" customWidth="1"/>
    <col min="5377" max="5377" width="9.375" style="684" customWidth="1"/>
    <col min="5378" max="5378" width="42.00390625" style="684" customWidth="1"/>
    <col min="5379" max="5379" width="5.375" style="684" customWidth="1"/>
    <col min="5380" max="5380" width="8.375" style="684" customWidth="1"/>
    <col min="5381" max="5381" width="11.50390625" style="684" customWidth="1"/>
    <col min="5382" max="5382" width="12.00390625" style="684" customWidth="1"/>
    <col min="5383" max="5632" width="14.375" style="684" customWidth="1"/>
    <col min="5633" max="5633" width="9.375" style="684" customWidth="1"/>
    <col min="5634" max="5634" width="42.00390625" style="684" customWidth="1"/>
    <col min="5635" max="5635" width="5.375" style="684" customWidth="1"/>
    <col min="5636" max="5636" width="8.375" style="684" customWidth="1"/>
    <col min="5637" max="5637" width="11.50390625" style="684" customWidth="1"/>
    <col min="5638" max="5638" width="12.00390625" style="684" customWidth="1"/>
    <col min="5639" max="5888" width="14.375" style="684" customWidth="1"/>
    <col min="5889" max="5889" width="9.375" style="684" customWidth="1"/>
    <col min="5890" max="5890" width="42.00390625" style="684" customWidth="1"/>
    <col min="5891" max="5891" width="5.375" style="684" customWidth="1"/>
    <col min="5892" max="5892" width="8.375" style="684" customWidth="1"/>
    <col min="5893" max="5893" width="11.50390625" style="684" customWidth="1"/>
    <col min="5894" max="5894" width="12.00390625" style="684" customWidth="1"/>
    <col min="5895" max="6144" width="14.375" style="684" customWidth="1"/>
    <col min="6145" max="6145" width="9.375" style="684" customWidth="1"/>
    <col min="6146" max="6146" width="42.00390625" style="684" customWidth="1"/>
    <col min="6147" max="6147" width="5.375" style="684" customWidth="1"/>
    <col min="6148" max="6148" width="8.375" style="684" customWidth="1"/>
    <col min="6149" max="6149" width="11.50390625" style="684" customWidth="1"/>
    <col min="6150" max="6150" width="12.00390625" style="684" customWidth="1"/>
    <col min="6151" max="6400" width="14.375" style="684" customWidth="1"/>
    <col min="6401" max="6401" width="9.375" style="684" customWidth="1"/>
    <col min="6402" max="6402" width="42.00390625" style="684" customWidth="1"/>
    <col min="6403" max="6403" width="5.375" style="684" customWidth="1"/>
    <col min="6404" max="6404" width="8.375" style="684" customWidth="1"/>
    <col min="6405" max="6405" width="11.50390625" style="684" customWidth="1"/>
    <col min="6406" max="6406" width="12.00390625" style="684" customWidth="1"/>
    <col min="6407" max="6656" width="14.375" style="684" customWidth="1"/>
    <col min="6657" max="6657" width="9.375" style="684" customWidth="1"/>
    <col min="6658" max="6658" width="42.00390625" style="684" customWidth="1"/>
    <col min="6659" max="6659" width="5.375" style="684" customWidth="1"/>
    <col min="6660" max="6660" width="8.375" style="684" customWidth="1"/>
    <col min="6661" max="6661" width="11.50390625" style="684" customWidth="1"/>
    <col min="6662" max="6662" width="12.00390625" style="684" customWidth="1"/>
    <col min="6663" max="6912" width="14.375" style="684" customWidth="1"/>
    <col min="6913" max="6913" width="9.375" style="684" customWidth="1"/>
    <col min="6914" max="6914" width="42.00390625" style="684" customWidth="1"/>
    <col min="6915" max="6915" width="5.375" style="684" customWidth="1"/>
    <col min="6916" max="6916" width="8.375" style="684" customWidth="1"/>
    <col min="6917" max="6917" width="11.50390625" style="684" customWidth="1"/>
    <col min="6918" max="6918" width="12.00390625" style="684" customWidth="1"/>
    <col min="6919" max="7168" width="14.375" style="684" customWidth="1"/>
    <col min="7169" max="7169" width="9.375" style="684" customWidth="1"/>
    <col min="7170" max="7170" width="42.00390625" style="684" customWidth="1"/>
    <col min="7171" max="7171" width="5.375" style="684" customWidth="1"/>
    <col min="7172" max="7172" width="8.375" style="684" customWidth="1"/>
    <col min="7173" max="7173" width="11.50390625" style="684" customWidth="1"/>
    <col min="7174" max="7174" width="12.00390625" style="684" customWidth="1"/>
    <col min="7175" max="7424" width="14.375" style="684" customWidth="1"/>
    <col min="7425" max="7425" width="9.375" style="684" customWidth="1"/>
    <col min="7426" max="7426" width="42.00390625" style="684" customWidth="1"/>
    <col min="7427" max="7427" width="5.375" style="684" customWidth="1"/>
    <col min="7428" max="7428" width="8.375" style="684" customWidth="1"/>
    <col min="7429" max="7429" width="11.50390625" style="684" customWidth="1"/>
    <col min="7430" max="7430" width="12.00390625" style="684" customWidth="1"/>
    <col min="7431" max="7680" width="14.375" style="684" customWidth="1"/>
    <col min="7681" max="7681" width="9.375" style="684" customWidth="1"/>
    <col min="7682" max="7682" width="42.00390625" style="684" customWidth="1"/>
    <col min="7683" max="7683" width="5.375" style="684" customWidth="1"/>
    <col min="7684" max="7684" width="8.375" style="684" customWidth="1"/>
    <col min="7685" max="7685" width="11.50390625" style="684" customWidth="1"/>
    <col min="7686" max="7686" width="12.00390625" style="684" customWidth="1"/>
    <col min="7687" max="7936" width="14.375" style="684" customWidth="1"/>
    <col min="7937" max="7937" width="9.375" style="684" customWidth="1"/>
    <col min="7938" max="7938" width="42.00390625" style="684" customWidth="1"/>
    <col min="7939" max="7939" width="5.375" style="684" customWidth="1"/>
    <col min="7940" max="7940" width="8.375" style="684" customWidth="1"/>
    <col min="7941" max="7941" width="11.50390625" style="684" customWidth="1"/>
    <col min="7942" max="7942" width="12.00390625" style="684" customWidth="1"/>
    <col min="7943" max="8192" width="14.375" style="684" customWidth="1"/>
    <col min="8193" max="8193" width="9.375" style="684" customWidth="1"/>
    <col min="8194" max="8194" width="42.00390625" style="684" customWidth="1"/>
    <col min="8195" max="8195" width="5.375" style="684" customWidth="1"/>
    <col min="8196" max="8196" width="8.375" style="684" customWidth="1"/>
    <col min="8197" max="8197" width="11.50390625" style="684" customWidth="1"/>
    <col min="8198" max="8198" width="12.00390625" style="684" customWidth="1"/>
    <col min="8199" max="8448" width="14.375" style="684" customWidth="1"/>
    <col min="8449" max="8449" width="9.375" style="684" customWidth="1"/>
    <col min="8450" max="8450" width="42.00390625" style="684" customWidth="1"/>
    <col min="8451" max="8451" width="5.375" style="684" customWidth="1"/>
    <col min="8452" max="8452" width="8.375" style="684" customWidth="1"/>
    <col min="8453" max="8453" width="11.50390625" style="684" customWidth="1"/>
    <col min="8454" max="8454" width="12.00390625" style="684" customWidth="1"/>
    <col min="8455" max="8704" width="14.375" style="684" customWidth="1"/>
    <col min="8705" max="8705" width="9.375" style="684" customWidth="1"/>
    <col min="8706" max="8706" width="42.00390625" style="684" customWidth="1"/>
    <col min="8707" max="8707" width="5.375" style="684" customWidth="1"/>
    <col min="8708" max="8708" width="8.375" style="684" customWidth="1"/>
    <col min="8709" max="8709" width="11.50390625" style="684" customWidth="1"/>
    <col min="8710" max="8710" width="12.00390625" style="684" customWidth="1"/>
    <col min="8711" max="8960" width="14.375" style="684" customWidth="1"/>
    <col min="8961" max="8961" width="9.375" style="684" customWidth="1"/>
    <col min="8962" max="8962" width="42.00390625" style="684" customWidth="1"/>
    <col min="8963" max="8963" width="5.375" style="684" customWidth="1"/>
    <col min="8964" max="8964" width="8.375" style="684" customWidth="1"/>
    <col min="8965" max="8965" width="11.50390625" style="684" customWidth="1"/>
    <col min="8966" max="8966" width="12.00390625" style="684" customWidth="1"/>
    <col min="8967" max="9216" width="14.375" style="684" customWidth="1"/>
    <col min="9217" max="9217" width="9.375" style="684" customWidth="1"/>
    <col min="9218" max="9218" width="42.00390625" style="684" customWidth="1"/>
    <col min="9219" max="9219" width="5.375" style="684" customWidth="1"/>
    <col min="9220" max="9220" width="8.375" style="684" customWidth="1"/>
    <col min="9221" max="9221" width="11.50390625" style="684" customWidth="1"/>
    <col min="9222" max="9222" width="12.00390625" style="684" customWidth="1"/>
    <col min="9223" max="9472" width="14.375" style="684" customWidth="1"/>
    <col min="9473" max="9473" width="9.375" style="684" customWidth="1"/>
    <col min="9474" max="9474" width="42.00390625" style="684" customWidth="1"/>
    <col min="9475" max="9475" width="5.375" style="684" customWidth="1"/>
    <col min="9476" max="9476" width="8.375" style="684" customWidth="1"/>
    <col min="9477" max="9477" width="11.50390625" style="684" customWidth="1"/>
    <col min="9478" max="9478" width="12.00390625" style="684" customWidth="1"/>
    <col min="9479" max="9728" width="14.375" style="684" customWidth="1"/>
    <col min="9729" max="9729" width="9.375" style="684" customWidth="1"/>
    <col min="9730" max="9730" width="42.00390625" style="684" customWidth="1"/>
    <col min="9731" max="9731" width="5.375" style="684" customWidth="1"/>
    <col min="9732" max="9732" width="8.375" style="684" customWidth="1"/>
    <col min="9733" max="9733" width="11.50390625" style="684" customWidth="1"/>
    <col min="9734" max="9734" width="12.00390625" style="684" customWidth="1"/>
    <col min="9735" max="9984" width="14.375" style="684" customWidth="1"/>
    <col min="9985" max="9985" width="9.375" style="684" customWidth="1"/>
    <col min="9986" max="9986" width="42.00390625" style="684" customWidth="1"/>
    <col min="9987" max="9987" width="5.375" style="684" customWidth="1"/>
    <col min="9988" max="9988" width="8.375" style="684" customWidth="1"/>
    <col min="9989" max="9989" width="11.50390625" style="684" customWidth="1"/>
    <col min="9990" max="9990" width="12.00390625" style="684" customWidth="1"/>
    <col min="9991" max="10240" width="14.375" style="684" customWidth="1"/>
    <col min="10241" max="10241" width="9.375" style="684" customWidth="1"/>
    <col min="10242" max="10242" width="42.00390625" style="684" customWidth="1"/>
    <col min="10243" max="10243" width="5.375" style="684" customWidth="1"/>
    <col min="10244" max="10244" width="8.375" style="684" customWidth="1"/>
    <col min="10245" max="10245" width="11.50390625" style="684" customWidth="1"/>
    <col min="10246" max="10246" width="12.00390625" style="684" customWidth="1"/>
    <col min="10247" max="10496" width="14.375" style="684" customWidth="1"/>
    <col min="10497" max="10497" width="9.375" style="684" customWidth="1"/>
    <col min="10498" max="10498" width="42.00390625" style="684" customWidth="1"/>
    <col min="10499" max="10499" width="5.375" style="684" customWidth="1"/>
    <col min="10500" max="10500" width="8.375" style="684" customWidth="1"/>
    <col min="10501" max="10501" width="11.50390625" style="684" customWidth="1"/>
    <col min="10502" max="10502" width="12.00390625" style="684" customWidth="1"/>
    <col min="10503" max="10752" width="14.375" style="684" customWidth="1"/>
    <col min="10753" max="10753" width="9.375" style="684" customWidth="1"/>
    <col min="10754" max="10754" width="42.00390625" style="684" customWidth="1"/>
    <col min="10755" max="10755" width="5.375" style="684" customWidth="1"/>
    <col min="10756" max="10756" width="8.375" style="684" customWidth="1"/>
    <col min="10757" max="10757" width="11.50390625" style="684" customWidth="1"/>
    <col min="10758" max="10758" width="12.00390625" style="684" customWidth="1"/>
    <col min="10759" max="11008" width="14.375" style="684" customWidth="1"/>
    <col min="11009" max="11009" width="9.375" style="684" customWidth="1"/>
    <col min="11010" max="11010" width="42.00390625" style="684" customWidth="1"/>
    <col min="11011" max="11011" width="5.375" style="684" customWidth="1"/>
    <col min="11012" max="11012" width="8.375" style="684" customWidth="1"/>
    <col min="11013" max="11013" width="11.50390625" style="684" customWidth="1"/>
    <col min="11014" max="11014" width="12.00390625" style="684" customWidth="1"/>
    <col min="11015" max="11264" width="14.375" style="684" customWidth="1"/>
    <col min="11265" max="11265" width="9.375" style="684" customWidth="1"/>
    <col min="11266" max="11266" width="42.00390625" style="684" customWidth="1"/>
    <col min="11267" max="11267" width="5.375" style="684" customWidth="1"/>
    <col min="11268" max="11268" width="8.375" style="684" customWidth="1"/>
    <col min="11269" max="11269" width="11.50390625" style="684" customWidth="1"/>
    <col min="11270" max="11270" width="12.00390625" style="684" customWidth="1"/>
    <col min="11271" max="11520" width="14.375" style="684" customWidth="1"/>
    <col min="11521" max="11521" width="9.375" style="684" customWidth="1"/>
    <col min="11522" max="11522" width="42.00390625" style="684" customWidth="1"/>
    <col min="11523" max="11523" width="5.375" style="684" customWidth="1"/>
    <col min="11524" max="11524" width="8.375" style="684" customWidth="1"/>
    <col min="11525" max="11525" width="11.50390625" style="684" customWidth="1"/>
    <col min="11526" max="11526" width="12.00390625" style="684" customWidth="1"/>
    <col min="11527" max="11776" width="14.375" style="684" customWidth="1"/>
    <col min="11777" max="11777" width="9.375" style="684" customWidth="1"/>
    <col min="11778" max="11778" width="42.00390625" style="684" customWidth="1"/>
    <col min="11779" max="11779" width="5.375" style="684" customWidth="1"/>
    <col min="11780" max="11780" width="8.375" style="684" customWidth="1"/>
    <col min="11781" max="11781" width="11.50390625" style="684" customWidth="1"/>
    <col min="11782" max="11782" width="12.00390625" style="684" customWidth="1"/>
    <col min="11783" max="12032" width="14.375" style="684" customWidth="1"/>
    <col min="12033" max="12033" width="9.375" style="684" customWidth="1"/>
    <col min="12034" max="12034" width="42.00390625" style="684" customWidth="1"/>
    <col min="12035" max="12035" width="5.375" style="684" customWidth="1"/>
    <col min="12036" max="12036" width="8.375" style="684" customWidth="1"/>
    <col min="12037" max="12037" width="11.50390625" style="684" customWidth="1"/>
    <col min="12038" max="12038" width="12.00390625" style="684" customWidth="1"/>
    <col min="12039" max="12288" width="14.375" style="684" customWidth="1"/>
    <col min="12289" max="12289" width="9.375" style="684" customWidth="1"/>
    <col min="12290" max="12290" width="42.00390625" style="684" customWidth="1"/>
    <col min="12291" max="12291" width="5.375" style="684" customWidth="1"/>
    <col min="12292" max="12292" width="8.375" style="684" customWidth="1"/>
    <col min="12293" max="12293" width="11.50390625" style="684" customWidth="1"/>
    <col min="12294" max="12294" width="12.00390625" style="684" customWidth="1"/>
    <col min="12295" max="12544" width="14.375" style="684" customWidth="1"/>
    <col min="12545" max="12545" width="9.375" style="684" customWidth="1"/>
    <col min="12546" max="12546" width="42.00390625" style="684" customWidth="1"/>
    <col min="12547" max="12547" width="5.375" style="684" customWidth="1"/>
    <col min="12548" max="12548" width="8.375" style="684" customWidth="1"/>
    <col min="12549" max="12549" width="11.50390625" style="684" customWidth="1"/>
    <col min="12550" max="12550" width="12.00390625" style="684" customWidth="1"/>
    <col min="12551" max="12800" width="14.375" style="684" customWidth="1"/>
    <col min="12801" max="12801" width="9.375" style="684" customWidth="1"/>
    <col min="12802" max="12802" width="42.00390625" style="684" customWidth="1"/>
    <col min="12803" max="12803" width="5.375" style="684" customWidth="1"/>
    <col min="12804" max="12804" width="8.375" style="684" customWidth="1"/>
    <col min="12805" max="12805" width="11.50390625" style="684" customWidth="1"/>
    <col min="12806" max="12806" width="12.00390625" style="684" customWidth="1"/>
    <col min="12807" max="13056" width="14.375" style="684" customWidth="1"/>
    <col min="13057" max="13057" width="9.375" style="684" customWidth="1"/>
    <col min="13058" max="13058" width="42.00390625" style="684" customWidth="1"/>
    <col min="13059" max="13059" width="5.375" style="684" customWidth="1"/>
    <col min="13060" max="13060" width="8.375" style="684" customWidth="1"/>
    <col min="13061" max="13061" width="11.50390625" style="684" customWidth="1"/>
    <col min="13062" max="13062" width="12.00390625" style="684" customWidth="1"/>
    <col min="13063" max="13312" width="14.375" style="684" customWidth="1"/>
    <col min="13313" max="13313" width="9.375" style="684" customWidth="1"/>
    <col min="13314" max="13314" width="42.00390625" style="684" customWidth="1"/>
    <col min="13315" max="13315" width="5.375" style="684" customWidth="1"/>
    <col min="13316" max="13316" width="8.375" style="684" customWidth="1"/>
    <col min="13317" max="13317" width="11.50390625" style="684" customWidth="1"/>
    <col min="13318" max="13318" width="12.00390625" style="684" customWidth="1"/>
    <col min="13319" max="13568" width="14.375" style="684" customWidth="1"/>
    <col min="13569" max="13569" width="9.375" style="684" customWidth="1"/>
    <col min="13570" max="13570" width="42.00390625" style="684" customWidth="1"/>
    <col min="13571" max="13571" width="5.375" style="684" customWidth="1"/>
    <col min="13572" max="13572" width="8.375" style="684" customWidth="1"/>
    <col min="13573" max="13573" width="11.50390625" style="684" customWidth="1"/>
    <col min="13574" max="13574" width="12.00390625" style="684" customWidth="1"/>
    <col min="13575" max="13824" width="14.375" style="684" customWidth="1"/>
    <col min="13825" max="13825" width="9.375" style="684" customWidth="1"/>
    <col min="13826" max="13826" width="42.00390625" style="684" customWidth="1"/>
    <col min="13827" max="13827" width="5.375" style="684" customWidth="1"/>
    <col min="13828" max="13828" width="8.375" style="684" customWidth="1"/>
    <col min="13829" max="13829" width="11.50390625" style="684" customWidth="1"/>
    <col min="13830" max="13830" width="12.00390625" style="684" customWidth="1"/>
    <col min="13831" max="14080" width="14.375" style="684" customWidth="1"/>
    <col min="14081" max="14081" width="9.375" style="684" customWidth="1"/>
    <col min="14082" max="14082" width="42.00390625" style="684" customWidth="1"/>
    <col min="14083" max="14083" width="5.375" style="684" customWidth="1"/>
    <col min="14084" max="14084" width="8.375" style="684" customWidth="1"/>
    <col min="14085" max="14085" width="11.50390625" style="684" customWidth="1"/>
    <col min="14086" max="14086" width="12.00390625" style="684" customWidth="1"/>
    <col min="14087" max="14336" width="14.375" style="684" customWidth="1"/>
    <col min="14337" max="14337" width="9.375" style="684" customWidth="1"/>
    <col min="14338" max="14338" width="42.00390625" style="684" customWidth="1"/>
    <col min="14339" max="14339" width="5.375" style="684" customWidth="1"/>
    <col min="14340" max="14340" width="8.375" style="684" customWidth="1"/>
    <col min="14341" max="14341" width="11.50390625" style="684" customWidth="1"/>
    <col min="14342" max="14342" width="12.00390625" style="684" customWidth="1"/>
    <col min="14343" max="14592" width="14.375" style="684" customWidth="1"/>
    <col min="14593" max="14593" width="9.375" style="684" customWidth="1"/>
    <col min="14594" max="14594" width="42.00390625" style="684" customWidth="1"/>
    <col min="14595" max="14595" width="5.375" style="684" customWidth="1"/>
    <col min="14596" max="14596" width="8.375" style="684" customWidth="1"/>
    <col min="14597" max="14597" width="11.50390625" style="684" customWidth="1"/>
    <col min="14598" max="14598" width="12.00390625" style="684" customWidth="1"/>
    <col min="14599" max="14848" width="14.375" style="684" customWidth="1"/>
    <col min="14849" max="14849" width="9.375" style="684" customWidth="1"/>
    <col min="14850" max="14850" width="42.00390625" style="684" customWidth="1"/>
    <col min="14851" max="14851" width="5.375" style="684" customWidth="1"/>
    <col min="14852" max="14852" width="8.375" style="684" customWidth="1"/>
    <col min="14853" max="14853" width="11.50390625" style="684" customWidth="1"/>
    <col min="14854" max="14854" width="12.00390625" style="684" customWidth="1"/>
    <col min="14855" max="15104" width="14.375" style="684" customWidth="1"/>
    <col min="15105" max="15105" width="9.375" style="684" customWidth="1"/>
    <col min="15106" max="15106" width="42.00390625" style="684" customWidth="1"/>
    <col min="15107" max="15107" width="5.375" style="684" customWidth="1"/>
    <col min="15108" max="15108" width="8.375" style="684" customWidth="1"/>
    <col min="15109" max="15109" width="11.50390625" style="684" customWidth="1"/>
    <col min="15110" max="15110" width="12.00390625" style="684" customWidth="1"/>
    <col min="15111" max="15360" width="14.375" style="684" customWidth="1"/>
    <col min="15361" max="15361" width="9.375" style="684" customWidth="1"/>
    <col min="15362" max="15362" width="42.00390625" style="684" customWidth="1"/>
    <col min="15363" max="15363" width="5.375" style="684" customWidth="1"/>
    <col min="15364" max="15364" width="8.375" style="684" customWidth="1"/>
    <col min="15365" max="15365" width="11.50390625" style="684" customWidth="1"/>
    <col min="15366" max="15366" width="12.00390625" style="684" customWidth="1"/>
    <col min="15367" max="15616" width="14.375" style="684" customWidth="1"/>
    <col min="15617" max="15617" width="9.375" style="684" customWidth="1"/>
    <col min="15618" max="15618" width="42.00390625" style="684" customWidth="1"/>
    <col min="15619" max="15619" width="5.375" style="684" customWidth="1"/>
    <col min="15620" max="15620" width="8.375" style="684" customWidth="1"/>
    <col min="15621" max="15621" width="11.50390625" style="684" customWidth="1"/>
    <col min="15622" max="15622" width="12.00390625" style="684" customWidth="1"/>
    <col min="15623" max="15872" width="14.375" style="684" customWidth="1"/>
    <col min="15873" max="15873" width="9.375" style="684" customWidth="1"/>
    <col min="15874" max="15874" width="42.00390625" style="684" customWidth="1"/>
    <col min="15875" max="15875" width="5.375" style="684" customWidth="1"/>
    <col min="15876" max="15876" width="8.375" style="684" customWidth="1"/>
    <col min="15877" max="15877" width="11.50390625" style="684" customWidth="1"/>
    <col min="15878" max="15878" width="12.00390625" style="684" customWidth="1"/>
    <col min="15879" max="16128" width="14.375" style="684" customWidth="1"/>
    <col min="16129" max="16129" width="9.375" style="684" customWidth="1"/>
    <col min="16130" max="16130" width="42.00390625" style="684" customWidth="1"/>
    <col min="16131" max="16131" width="5.375" style="684" customWidth="1"/>
    <col min="16132" max="16132" width="8.375" style="684" customWidth="1"/>
    <col min="16133" max="16133" width="11.50390625" style="684" customWidth="1"/>
    <col min="16134" max="16134" width="12.00390625" style="684" customWidth="1"/>
    <col min="16135" max="16384" width="14.375" style="684" customWidth="1"/>
  </cols>
  <sheetData>
    <row r="1" spans="2:6" ht="15.6">
      <c r="B1" s="683" t="s">
        <v>1065</v>
      </c>
      <c r="F1" s="684"/>
    </row>
    <row r="2" spans="2:6" ht="12.75">
      <c r="B2" s="686"/>
      <c r="F2" s="684"/>
    </row>
    <row r="3" spans="2:6" ht="13.8">
      <c r="B3" s="687" t="s">
        <v>1729</v>
      </c>
      <c r="F3" s="684"/>
    </row>
    <row r="4" spans="2:6" ht="12.75">
      <c r="B4" s="686"/>
      <c r="F4" s="684"/>
    </row>
    <row r="5" spans="2:6" ht="13.2">
      <c r="B5" s="688" t="s">
        <v>1705</v>
      </c>
      <c r="F5" s="684"/>
    </row>
    <row r="6" spans="2:6" ht="12.75">
      <c r="B6" s="684" t="s">
        <v>1068</v>
      </c>
      <c r="D6" s="689"/>
      <c r="E6" s="690" t="s">
        <v>1450</v>
      </c>
      <c r="F6" s="684"/>
    </row>
    <row r="7" spans="1:7" ht="12.75">
      <c r="A7" s="691" t="s">
        <v>1070</v>
      </c>
      <c r="B7" s="692" t="s">
        <v>1071</v>
      </c>
      <c r="C7" s="692" t="s">
        <v>1072</v>
      </c>
      <c r="D7" s="693" t="s">
        <v>133</v>
      </c>
      <c r="E7" s="693" t="s">
        <v>1042</v>
      </c>
      <c r="F7" s="694" t="s">
        <v>1073</v>
      </c>
      <c r="G7" s="695"/>
    </row>
    <row r="8" spans="1:6" ht="12.75">
      <c r="A8" s="696"/>
      <c r="B8" s="697"/>
      <c r="C8" s="698"/>
      <c r="D8" s="699"/>
      <c r="E8" s="699"/>
      <c r="F8" s="700"/>
    </row>
    <row r="9" spans="1:6" s="703" customFormat="1" ht="12.75">
      <c r="A9" s="701"/>
      <c r="B9" s="732" t="s">
        <v>1706</v>
      </c>
      <c r="F9" s="705"/>
    </row>
    <row r="10" spans="1:6" s="703" customFormat="1" ht="12.75">
      <c r="A10" s="701" t="s">
        <v>1730</v>
      </c>
      <c r="B10" s="702" t="s">
        <v>1731</v>
      </c>
      <c r="C10" s="703" t="s">
        <v>231</v>
      </c>
      <c r="D10" s="704">
        <v>20</v>
      </c>
      <c r="E10" s="704"/>
      <c r="F10" s="705">
        <f aca="true" t="shared" si="0" ref="F10:F26">D10*E10</f>
        <v>0</v>
      </c>
    </row>
    <row r="11" spans="1:6" s="703" customFormat="1" ht="12.75">
      <c r="A11" s="701" t="s">
        <v>1732</v>
      </c>
      <c r="B11" s="702" t="s">
        <v>1733</v>
      </c>
      <c r="C11" s="703" t="s">
        <v>231</v>
      </c>
      <c r="D11" s="704">
        <v>2</v>
      </c>
      <c r="E11" s="704"/>
      <c r="F11" s="705">
        <f t="shared" si="0"/>
        <v>0</v>
      </c>
    </row>
    <row r="12" spans="1:6" s="703" customFormat="1" ht="12.75">
      <c r="A12" s="701" t="s">
        <v>1734</v>
      </c>
      <c r="B12" s="702" t="s">
        <v>1086</v>
      </c>
      <c r="C12" s="703" t="s">
        <v>757</v>
      </c>
      <c r="D12" s="704">
        <v>1</v>
      </c>
      <c r="E12" s="704"/>
      <c r="F12" s="705">
        <f>D12*E12</f>
        <v>0</v>
      </c>
    </row>
    <row r="13" spans="1:6" s="703" customFormat="1" ht="12.75">
      <c r="A13" s="701" t="s">
        <v>1735</v>
      </c>
      <c r="B13" s="702" t="s">
        <v>1736</v>
      </c>
      <c r="C13" s="703" t="s">
        <v>231</v>
      </c>
      <c r="D13" s="704">
        <v>1</v>
      </c>
      <c r="E13" s="704"/>
      <c r="F13" s="705">
        <f>D13*E13</f>
        <v>0</v>
      </c>
    </row>
    <row r="14" spans="1:6" s="703" customFormat="1" ht="12.75">
      <c r="A14" s="701" t="s">
        <v>1737</v>
      </c>
      <c r="B14" s="702" t="s">
        <v>1078</v>
      </c>
      <c r="C14" s="703" t="s">
        <v>757</v>
      </c>
      <c r="D14" s="704">
        <v>1</v>
      </c>
      <c r="E14" s="704"/>
      <c r="F14" s="705">
        <f t="shared" si="0"/>
        <v>0</v>
      </c>
    </row>
    <row r="15" spans="1:6" s="703" customFormat="1" ht="12.75">
      <c r="A15" s="701" t="s">
        <v>1738</v>
      </c>
      <c r="B15" s="702" t="s">
        <v>1513</v>
      </c>
      <c r="C15" s="703" t="s">
        <v>757</v>
      </c>
      <c r="D15" s="704">
        <v>1</v>
      </c>
      <c r="E15" s="704"/>
      <c r="F15" s="705">
        <f>D15*E15</f>
        <v>0</v>
      </c>
    </row>
    <row r="16" spans="1:6" s="703" customFormat="1" ht="12.75">
      <c r="A16" s="701" t="s">
        <v>1739</v>
      </c>
      <c r="B16" s="702" t="s">
        <v>1740</v>
      </c>
      <c r="C16" s="703" t="s">
        <v>757</v>
      </c>
      <c r="D16" s="704">
        <v>1</v>
      </c>
      <c r="E16" s="704"/>
      <c r="F16" s="705">
        <f>D16*E16</f>
        <v>0</v>
      </c>
    </row>
    <row r="17" spans="1:6" s="703" customFormat="1" ht="12.75">
      <c r="A17" s="701" t="s">
        <v>1741</v>
      </c>
      <c r="B17" s="702" t="s">
        <v>1742</v>
      </c>
      <c r="C17" s="703" t="s">
        <v>757</v>
      </c>
      <c r="D17" s="704">
        <v>1</v>
      </c>
      <c r="E17" s="704"/>
      <c r="F17" s="705">
        <f>D17*E17</f>
        <v>0</v>
      </c>
    </row>
    <row r="18" spans="1:6" s="703" customFormat="1" ht="12.75">
      <c r="A18" s="701" t="s">
        <v>1743</v>
      </c>
      <c r="B18" s="702" t="s">
        <v>1744</v>
      </c>
      <c r="C18" s="703" t="s">
        <v>757</v>
      </c>
      <c r="D18" s="704">
        <v>1</v>
      </c>
      <c r="E18" s="704"/>
      <c r="F18" s="705">
        <f>D18*E18</f>
        <v>0</v>
      </c>
    </row>
    <row r="19" spans="1:6" s="703" customFormat="1" ht="24">
      <c r="A19" s="701" t="s">
        <v>1745</v>
      </c>
      <c r="B19" s="706" t="s">
        <v>1746</v>
      </c>
      <c r="C19" s="703" t="s">
        <v>757</v>
      </c>
      <c r="D19" s="704">
        <v>1</v>
      </c>
      <c r="E19" s="704"/>
      <c r="F19" s="705">
        <f t="shared" si="0"/>
        <v>0</v>
      </c>
    </row>
    <row r="20" spans="1:6" s="703" customFormat="1" ht="12.75">
      <c r="A20" s="701" t="s">
        <v>1747</v>
      </c>
      <c r="B20" s="702" t="s">
        <v>1748</v>
      </c>
      <c r="C20" s="703" t="s">
        <v>757</v>
      </c>
      <c r="D20" s="704">
        <v>2</v>
      </c>
      <c r="E20" s="733"/>
      <c r="F20" s="705">
        <f t="shared" si="0"/>
        <v>0</v>
      </c>
    </row>
    <row r="21" spans="1:6" s="703" customFormat="1" ht="12.75">
      <c r="A21" s="701" t="s">
        <v>1749</v>
      </c>
      <c r="B21" s="702" t="s">
        <v>1750</v>
      </c>
      <c r="C21" s="703" t="s">
        <v>231</v>
      </c>
      <c r="D21" s="704">
        <v>20</v>
      </c>
      <c r="E21" s="704"/>
      <c r="F21" s="705">
        <f>D21*E21</f>
        <v>0</v>
      </c>
    </row>
    <row r="22" spans="1:6" s="703" customFormat="1" ht="12.75">
      <c r="A22" s="701" t="s">
        <v>1751</v>
      </c>
      <c r="B22" s="702" t="s">
        <v>1092</v>
      </c>
      <c r="C22" s="703" t="s">
        <v>231</v>
      </c>
      <c r="D22" s="704">
        <f>SUM(D10:D11)</f>
        <v>22</v>
      </c>
      <c r="E22" s="704"/>
      <c r="F22" s="705">
        <f t="shared" si="0"/>
        <v>0</v>
      </c>
    </row>
    <row r="23" spans="1:6" s="703" customFormat="1" ht="12.75">
      <c r="A23" s="701" t="s">
        <v>1752</v>
      </c>
      <c r="B23" s="702" t="s">
        <v>1716</v>
      </c>
      <c r="C23" s="703" t="s">
        <v>757</v>
      </c>
      <c r="D23" s="704">
        <v>3</v>
      </c>
      <c r="E23" s="704"/>
      <c r="F23" s="705">
        <f t="shared" si="0"/>
        <v>0</v>
      </c>
    </row>
    <row r="24" spans="1:6" s="703" customFormat="1" ht="12.75">
      <c r="A24" s="701" t="s">
        <v>1753</v>
      </c>
      <c r="B24" s="702" t="s">
        <v>1093</v>
      </c>
      <c r="C24" s="703" t="s">
        <v>231</v>
      </c>
      <c r="D24" s="704">
        <f>SUM(D22)</f>
        <v>22</v>
      </c>
      <c r="E24" s="704"/>
      <c r="F24" s="705">
        <f t="shared" si="0"/>
        <v>0</v>
      </c>
    </row>
    <row r="25" spans="1:6" s="703" customFormat="1" ht="12.75">
      <c r="A25" s="701" t="s">
        <v>1754</v>
      </c>
      <c r="B25" s="702" t="s">
        <v>1094</v>
      </c>
      <c r="C25" s="703" t="s">
        <v>231</v>
      </c>
      <c r="D25" s="704">
        <f>SUM(D24)</f>
        <v>22</v>
      </c>
      <c r="E25" s="704"/>
      <c r="F25" s="705">
        <f t="shared" si="0"/>
        <v>0</v>
      </c>
    </row>
    <row r="26" spans="1:6" s="703" customFormat="1" ht="12.75">
      <c r="A26" s="701" t="s">
        <v>1755</v>
      </c>
      <c r="B26" s="708" t="s">
        <v>1095</v>
      </c>
      <c r="C26" s="703" t="s">
        <v>1096</v>
      </c>
      <c r="D26" s="704">
        <v>1</v>
      </c>
      <c r="E26" s="704"/>
      <c r="F26" s="705">
        <f t="shared" si="0"/>
        <v>0</v>
      </c>
    </row>
    <row r="27" spans="1:6" s="703" customFormat="1" ht="12.75">
      <c r="A27" s="701"/>
      <c r="B27" s="702"/>
      <c r="D27" s="704"/>
      <c r="E27" s="704"/>
      <c r="F27" s="705"/>
    </row>
    <row r="28" spans="1:6" s="702" customFormat="1" ht="12.75">
      <c r="A28" s="696"/>
      <c r="B28" s="702" t="s">
        <v>1804</v>
      </c>
      <c r="D28" s="707"/>
      <c r="E28" s="707"/>
      <c r="F28" s="915">
        <f>SUM(F10:F27)</f>
        <v>0</v>
      </c>
    </row>
    <row r="29" spans="1:6" s="702" customFormat="1" ht="12.75">
      <c r="A29" s="696"/>
      <c r="D29" s="707"/>
      <c r="E29" s="707"/>
      <c r="F29" s="915"/>
    </row>
    <row r="30" spans="1:6" s="702" customFormat="1" ht="12.75">
      <c r="A30" s="696"/>
      <c r="B30" s="732" t="s">
        <v>1720</v>
      </c>
      <c r="D30" s="707"/>
      <c r="E30" s="707"/>
      <c r="F30" s="705"/>
    </row>
    <row r="31" spans="1:6" s="702" customFormat="1" ht="12.75">
      <c r="A31" s="701" t="s">
        <v>1756</v>
      </c>
      <c r="B31" s="702" t="s">
        <v>1099</v>
      </c>
      <c r="C31" s="702" t="s">
        <v>231</v>
      </c>
      <c r="D31" s="707">
        <v>1</v>
      </c>
      <c r="E31" s="707"/>
      <c r="F31" s="705">
        <f aca="true" t="shared" si="1" ref="F31:F58">D31*E31</f>
        <v>0</v>
      </c>
    </row>
    <row r="32" spans="1:6" s="702" customFormat="1" ht="12.75">
      <c r="A32" s="701" t="s">
        <v>1757</v>
      </c>
      <c r="B32" s="702" t="s">
        <v>1101</v>
      </c>
      <c r="C32" s="702" t="s">
        <v>757</v>
      </c>
      <c r="D32" s="707">
        <v>3</v>
      </c>
      <c r="E32" s="707"/>
      <c r="F32" s="705">
        <f t="shared" si="1"/>
        <v>0</v>
      </c>
    </row>
    <row r="33" spans="1:6" s="702" customFormat="1" ht="12.75">
      <c r="A33" s="701" t="s">
        <v>1758</v>
      </c>
      <c r="B33" s="702" t="s">
        <v>1102</v>
      </c>
      <c r="C33" s="702" t="s">
        <v>757</v>
      </c>
      <c r="D33" s="707">
        <v>1</v>
      </c>
      <c r="E33" s="707"/>
      <c r="F33" s="705">
        <f t="shared" si="1"/>
        <v>0</v>
      </c>
    </row>
    <row r="34" spans="1:6" s="702" customFormat="1" ht="12.75">
      <c r="A34" s="701" t="s">
        <v>1759</v>
      </c>
      <c r="B34" s="702" t="s">
        <v>1104</v>
      </c>
      <c r="C34" s="702" t="s">
        <v>231</v>
      </c>
      <c r="D34" s="707">
        <v>1</v>
      </c>
      <c r="E34" s="707"/>
      <c r="F34" s="705">
        <f t="shared" si="1"/>
        <v>0</v>
      </c>
    </row>
    <row r="35" spans="1:10" s="712" customFormat="1" ht="12.75">
      <c r="A35" s="701" t="s">
        <v>1760</v>
      </c>
      <c r="B35" s="702" t="s">
        <v>1106</v>
      </c>
      <c r="C35" s="702" t="s">
        <v>757</v>
      </c>
      <c r="D35" s="707">
        <v>1</v>
      </c>
      <c r="E35" s="707"/>
      <c r="F35" s="705">
        <f t="shared" si="1"/>
        <v>0</v>
      </c>
      <c r="H35" s="702"/>
      <c r="J35" s="702"/>
    </row>
    <row r="36" spans="1:10" s="712" customFormat="1" ht="12.75">
      <c r="A36" s="701" t="s">
        <v>1761</v>
      </c>
      <c r="B36" s="702" t="s">
        <v>1762</v>
      </c>
      <c r="C36" s="702" t="s">
        <v>757</v>
      </c>
      <c r="D36" s="707">
        <v>2</v>
      </c>
      <c r="E36" s="707"/>
      <c r="F36" s="705">
        <f t="shared" si="1"/>
        <v>0</v>
      </c>
      <c r="H36" s="702"/>
      <c r="J36" s="702"/>
    </row>
    <row r="37" spans="1:10" s="712" customFormat="1" ht="12.75">
      <c r="A37" s="701" t="s">
        <v>1763</v>
      </c>
      <c r="B37" s="702" t="s">
        <v>1764</v>
      </c>
      <c r="C37" s="702" t="s">
        <v>757</v>
      </c>
      <c r="D37" s="707">
        <v>1</v>
      </c>
      <c r="E37" s="707"/>
      <c r="F37" s="705">
        <f>D37*E37</f>
        <v>0</v>
      </c>
      <c r="H37" s="702"/>
      <c r="J37" s="702"/>
    </row>
    <row r="38" spans="1:6" s="702" customFormat="1" ht="12.75">
      <c r="A38" s="701" t="s">
        <v>1765</v>
      </c>
      <c r="B38" s="702" t="s">
        <v>1108</v>
      </c>
      <c r="C38" s="702" t="s">
        <v>757</v>
      </c>
      <c r="D38" s="707">
        <v>1</v>
      </c>
      <c r="E38" s="707"/>
      <c r="F38" s="705">
        <f t="shared" si="1"/>
        <v>0</v>
      </c>
    </row>
    <row r="39" spans="1:10" s="712" customFormat="1" ht="12.75">
      <c r="A39" s="701" t="s">
        <v>1766</v>
      </c>
      <c r="B39" s="702" t="s">
        <v>1110</v>
      </c>
      <c r="C39" s="702" t="s">
        <v>757</v>
      </c>
      <c r="D39" s="707">
        <v>1</v>
      </c>
      <c r="E39" s="707"/>
      <c r="F39" s="705">
        <f t="shared" si="1"/>
        <v>0</v>
      </c>
      <c r="H39" s="702"/>
      <c r="J39" s="702"/>
    </row>
    <row r="40" spans="1:10" s="712" customFormat="1" ht="12.75">
      <c r="A40" s="701" t="s">
        <v>1767</v>
      </c>
      <c r="B40" s="702" t="s">
        <v>1768</v>
      </c>
      <c r="C40" s="702" t="s">
        <v>757</v>
      </c>
      <c r="D40" s="1284">
        <f>1+G40</f>
        <v>1</v>
      </c>
      <c r="E40" s="707"/>
      <c r="F40" s="705">
        <f t="shared" si="1"/>
        <v>0</v>
      </c>
      <c r="H40" s="702"/>
      <c r="J40" s="702"/>
    </row>
    <row r="41" spans="1:10" s="712" customFormat="1" ht="12.75">
      <c r="A41" s="701" t="s">
        <v>1769</v>
      </c>
      <c r="B41" s="702" t="s">
        <v>1770</v>
      </c>
      <c r="C41" s="702" t="s">
        <v>757</v>
      </c>
      <c r="D41" s="707">
        <v>1</v>
      </c>
      <c r="E41" s="707"/>
      <c r="F41" s="705">
        <f>D41*E41</f>
        <v>0</v>
      </c>
      <c r="H41" s="702"/>
      <c r="J41" s="702"/>
    </row>
    <row r="42" spans="1:6" s="702" customFormat="1" ht="12.75">
      <c r="A42" s="701" t="s">
        <v>1771</v>
      </c>
      <c r="B42" s="702" t="s">
        <v>1772</v>
      </c>
      <c r="C42" s="702" t="s">
        <v>757</v>
      </c>
      <c r="D42" s="707">
        <v>1</v>
      </c>
      <c r="E42" s="707"/>
      <c r="F42" s="705">
        <f t="shared" si="1"/>
        <v>0</v>
      </c>
    </row>
    <row r="43" spans="1:8" s="702" customFormat="1" ht="24">
      <c r="A43" s="701" t="s">
        <v>1773</v>
      </c>
      <c r="B43" s="1290" t="s">
        <v>2711</v>
      </c>
      <c r="C43" s="1288" t="s">
        <v>231</v>
      </c>
      <c r="D43" s="1277">
        <f>82+G43</f>
        <v>44</v>
      </c>
      <c r="E43" s="1277"/>
      <c r="F43" s="1289">
        <f t="shared" si="1"/>
        <v>0</v>
      </c>
      <c r="G43" s="702">
        <v>-38</v>
      </c>
      <c r="H43" s="702" t="s">
        <v>2685</v>
      </c>
    </row>
    <row r="44" spans="1:6" s="702" customFormat="1" ht="12.75">
      <c r="A44" s="701" t="s">
        <v>1774</v>
      </c>
      <c r="B44" s="702" t="s">
        <v>1775</v>
      </c>
      <c r="C44" s="702" t="s">
        <v>231</v>
      </c>
      <c r="D44" s="1284">
        <f>500+G44</f>
        <v>500</v>
      </c>
      <c r="E44" s="707"/>
      <c r="F44" s="705">
        <f t="shared" si="1"/>
        <v>0</v>
      </c>
    </row>
    <row r="45" spans="1:6" s="702" customFormat="1" ht="12.75">
      <c r="A45" s="701" t="s">
        <v>1776</v>
      </c>
      <c r="B45" s="702" t="s">
        <v>1777</v>
      </c>
      <c r="C45" s="702" t="s">
        <v>231</v>
      </c>
      <c r="D45" s="707">
        <v>40</v>
      </c>
      <c r="E45" s="707"/>
      <c r="F45" s="705">
        <f>D45*E45</f>
        <v>0</v>
      </c>
    </row>
    <row r="46" spans="1:6" s="702" customFormat="1" ht="12.75">
      <c r="A46" s="701" t="s">
        <v>1778</v>
      </c>
      <c r="B46" s="702" t="s">
        <v>1779</v>
      </c>
      <c r="C46" s="702" t="s">
        <v>757</v>
      </c>
      <c r="D46" s="707">
        <v>6</v>
      </c>
      <c r="E46" s="707"/>
      <c r="F46" s="705">
        <f t="shared" si="1"/>
        <v>0</v>
      </c>
    </row>
    <row r="47" spans="1:6" s="702" customFormat="1" ht="12.75">
      <c r="A47" s="701" t="s">
        <v>1780</v>
      </c>
      <c r="B47" s="702" t="s">
        <v>1781</v>
      </c>
      <c r="C47" s="702" t="s">
        <v>757</v>
      </c>
      <c r="D47" s="707">
        <v>10</v>
      </c>
      <c r="E47" s="707"/>
      <c r="F47" s="705">
        <f t="shared" si="1"/>
        <v>0</v>
      </c>
    </row>
    <row r="48" spans="1:8" s="703" customFormat="1" ht="24">
      <c r="A48" s="701" t="s">
        <v>1782</v>
      </c>
      <c r="B48" s="1290" t="s">
        <v>2712</v>
      </c>
      <c r="C48" s="1291" t="s">
        <v>757</v>
      </c>
      <c r="D48" s="1292">
        <f>2+G48</f>
        <v>1</v>
      </c>
      <c r="E48" s="1292"/>
      <c r="F48" s="1289">
        <f t="shared" si="1"/>
        <v>0</v>
      </c>
      <c r="G48" s="703">
        <v>-1</v>
      </c>
      <c r="H48" s="703" t="s">
        <v>2708</v>
      </c>
    </row>
    <row r="49" spans="1:6" s="703" customFormat="1" ht="12.75">
      <c r="A49" s="701" t="s">
        <v>1783</v>
      </c>
      <c r="B49" s="702" t="s">
        <v>1784</v>
      </c>
      <c r="C49" s="703" t="s">
        <v>757</v>
      </c>
      <c r="D49" s="704">
        <v>1</v>
      </c>
      <c r="E49" s="704"/>
      <c r="F49" s="705">
        <f>D49*E49</f>
        <v>0</v>
      </c>
    </row>
    <row r="50" spans="1:6" s="702" customFormat="1" ht="12.75">
      <c r="A50" s="701" t="s">
        <v>1785</v>
      </c>
      <c r="B50" s="702" t="s">
        <v>1725</v>
      </c>
      <c r="C50" s="702" t="s">
        <v>231</v>
      </c>
      <c r="D50" s="707">
        <f>SUM(D43:D44)</f>
        <v>544</v>
      </c>
      <c r="E50" s="707"/>
      <c r="F50" s="705">
        <f t="shared" si="1"/>
        <v>0</v>
      </c>
    </row>
    <row r="51" spans="1:6" s="702" customFormat="1" ht="12.75">
      <c r="A51" s="701" t="s">
        <v>1786</v>
      </c>
      <c r="B51" s="702" t="s">
        <v>1118</v>
      </c>
      <c r="C51" s="702" t="s">
        <v>1096</v>
      </c>
      <c r="D51" s="707">
        <v>1</v>
      </c>
      <c r="E51" s="707"/>
      <c r="F51" s="705">
        <f t="shared" si="1"/>
        <v>0</v>
      </c>
    </row>
    <row r="52" spans="1:10" ht="12.75">
      <c r="A52" s="701" t="s">
        <v>1787</v>
      </c>
      <c r="B52" s="702" t="s">
        <v>1726</v>
      </c>
      <c r="C52" s="684" t="s">
        <v>231</v>
      </c>
      <c r="D52" s="717">
        <f>SUM(D31)</f>
        <v>1</v>
      </c>
      <c r="E52" s="717"/>
      <c r="F52" s="705">
        <f t="shared" si="1"/>
        <v>0</v>
      </c>
      <c r="J52" s="684" t="str">
        <f>IF(H52=0,"",F52*0.22)</f>
        <v/>
      </c>
    </row>
    <row r="53" spans="1:10" ht="12.75">
      <c r="A53" s="701" t="s">
        <v>1788</v>
      </c>
      <c r="B53" s="702" t="s">
        <v>1727</v>
      </c>
      <c r="C53" s="684" t="s">
        <v>231</v>
      </c>
      <c r="D53" s="717">
        <f>SUM(D43:D44)</f>
        <v>544</v>
      </c>
      <c r="E53" s="717"/>
      <c r="F53" s="705">
        <f t="shared" si="1"/>
        <v>0</v>
      </c>
      <c r="J53" s="684" t="str">
        <f aca="true" t="shared" si="2" ref="J53:J61">IF(H53=0,"",F53*0.22)</f>
        <v/>
      </c>
    </row>
    <row r="54" spans="1:10" ht="12.75">
      <c r="A54" s="701" t="s">
        <v>1789</v>
      </c>
      <c r="B54" s="702" t="s">
        <v>1728</v>
      </c>
      <c r="C54" s="684" t="s">
        <v>757</v>
      </c>
      <c r="D54" s="717">
        <v>1</v>
      </c>
      <c r="E54" s="717"/>
      <c r="F54" s="705">
        <f t="shared" si="1"/>
        <v>0</v>
      </c>
      <c r="J54" s="684" t="str">
        <f>IF(H54=0,"",F54*0.22)</f>
        <v/>
      </c>
    </row>
    <row r="55" spans="1:10" ht="12.75">
      <c r="A55" s="701" t="s">
        <v>1790</v>
      </c>
      <c r="B55" s="702" t="s">
        <v>1119</v>
      </c>
      <c r="C55" s="684" t="s">
        <v>231</v>
      </c>
      <c r="D55" s="717">
        <f>SUM(D43:D44)</f>
        <v>544</v>
      </c>
      <c r="E55" s="717"/>
      <c r="F55" s="705">
        <f t="shared" si="1"/>
        <v>0</v>
      </c>
      <c r="J55" s="684" t="str">
        <f t="shared" si="2"/>
        <v/>
      </c>
    </row>
    <row r="56" spans="1:6" s="703" customFormat="1" ht="12.75">
      <c r="A56" s="701" t="s">
        <v>1791</v>
      </c>
      <c r="B56" s="702" t="s">
        <v>1792</v>
      </c>
      <c r="C56" s="703" t="s">
        <v>231</v>
      </c>
      <c r="D56" s="704">
        <v>317</v>
      </c>
      <c r="E56" s="704"/>
      <c r="F56" s="705">
        <f>D56*E56</f>
        <v>0</v>
      </c>
    </row>
    <row r="57" spans="1:6" s="703" customFormat="1" ht="12.75">
      <c r="A57" s="701" t="s">
        <v>1793</v>
      </c>
      <c r="B57" s="702" t="s">
        <v>1794</v>
      </c>
      <c r="C57" s="703" t="s">
        <v>231</v>
      </c>
      <c r="D57" s="704">
        <v>305</v>
      </c>
      <c r="E57" s="704"/>
      <c r="F57" s="705">
        <f t="shared" si="1"/>
        <v>0</v>
      </c>
    </row>
    <row r="58" spans="1:10" ht="12.75">
      <c r="A58" s="701" t="s">
        <v>1795</v>
      </c>
      <c r="B58" s="708" t="s">
        <v>1095</v>
      </c>
      <c r="C58" s="684" t="s">
        <v>1096</v>
      </c>
      <c r="D58" s="717">
        <v>1</v>
      </c>
      <c r="E58" s="717"/>
      <c r="F58" s="705">
        <f t="shared" si="1"/>
        <v>0</v>
      </c>
      <c r="J58" s="684" t="str">
        <f t="shared" si="2"/>
        <v/>
      </c>
    </row>
    <row r="59" spans="1:6" ht="12.75">
      <c r="A59" s="701"/>
      <c r="B59" s="702"/>
      <c r="D59" s="717"/>
      <c r="E59" s="717"/>
      <c r="F59" s="705"/>
    </row>
    <row r="60" spans="1:6" ht="12.75">
      <c r="A60" s="701"/>
      <c r="B60" s="702"/>
      <c r="D60" s="717"/>
      <c r="E60" s="717"/>
      <c r="F60" s="705"/>
    </row>
    <row r="61" spans="4:10" ht="12.75">
      <c r="D61" s="717"/>
      <c r="E61" s="717"/>
      <c r="J61" s="684" t="str">
        <f t="shared" si="2"/>
        <v/>
      </c>
    </row>
    <row r="62" spans="1:6" s="702" customFormat="1" ht="12.75">
      <c r="A62" s="696"/>
      <c r="B62" s="732" t="s">
        <v>1796</v>
      </c>
      <c r="D62" s="707"/>
      <c r="E62" s="707"/>
      <c r="F62" s="705"/>
    </row>
    <row r="63" spans="1:10" ht="12.75">
      <c r="A63" s="719" t="s">
        <v>1797</v>
      </c>
      <c r="B63" s="684" t="s">
        <v>1798</v>
      </c>
      <c r="C63" s="702" t="s">
        <v>1096</v>
      </c>
      <c r="D63" s="707">
        <v>1</v>
      </c>
      <c r="E63" s="707"/>
      <c r="F63" s="705">
        <f>D63*E63</f>
        <v>0</v>
      </c>
      <c r="J63" s="684" t="str">
        <f>IF(H63=0,"",F67*0.22)</f>
        <v/>
      </c>
    </row>
    <row r="64" spans="1:10" ht="12.75">
      <c r="A64" s="719" t="s">
        <v>1799</v>
      </c>
      <c r="B64" s="684" t="s">
        <v>1800</v>
      </c>
      <c r="C64" s="702" t="s">
        <v>1096</v>
      </c>
      <c r="D64" s="707">
        <v>1</v>
      </c>
      <c r="E64" s="707"/>
      <c r="F64" s="705">
        <f>D64*E64</f>
        <v>0</v>
      </c>
      <c r="J64" s="684" t="str">
        <f>IF(H64=0,"",F68*0.22)</f>
        <v/>
      </c>
    </row>
    <row r="65" spans="1:8" ht="23.4">
      <c r="A65" s="719" t="s">
        <v>1801</v>
      </c>
      <c r="B65" s="1394" t="s">
        <v>2710</v>
      </c>
      <c r="C65" s="1395" t="s">
        <v>1096</v>
      </c>
      <c r="D65" s="1396">
        <f>1+G65</f>
        <v>0</v>
      </c>
      <c r="E65" s="1396"/>
      <c r="F65" s="1397">
        <f>D65*E65</f>
        <v>0</v>
      </c>
      <c r="G65" s="684">
        <v>-1</v>
      </c>
      <c r="H65" s="684" t="s">
        <v>2709</v>
      </c>
    </row>
    <row r="66" spans="1:10" ht="12.75">
      <c r="A66" s="719" t="s">
        <v>1802</v>
      </c>
      <c r="B66" s="684" t="s">
        <v>1803</v>
      </c>
      <c r="C66" s="702" t="s">
        <v>1096</v>
      </c>
      <c r="D66" s="707">
        <v>1</v>
      </c>
      <c r="E66" s="707"/>
      <c r="F66" s="705">
        <f>D66*E66</f>
        <v>0</v>
      </c>
      <c r="J66" s="684" t="str">
        <f>IF(H66=0,"",F70*0.22)</f>
        <v/>
      </c>
    </row>
    <row r="67" spans="4:10" ht="12.75">
      <c r="D67" s="717"/>
      <c r="E67" s="717"/>
      <c r="J67" s="684" t="str">
        <f aca="true" t="shared" si="3" ref="J67:J130">IF(H67=0,"",F68*0.22)</f>
        <v/>
      </c>
    </row>
    <row r="68" spans="2:10" ht="12.75">
      <c r="B68" s="684" t="s">
        <v>1805</v>
      </c>
      <c r="D68" s="717"/>
      <c r="E68" s="717"/>
      <c r="F68" s="734">
        <f>SUM(F31:F64)+F66</f>
        <v>0</v>
      </c>
      <c r="J68" s="684" t="str">
        <f t="shared" si="3"/>
        <v/>
      </c>
    </row>
    <row r="69" spans="6:10" ht="12.75">
      <c r="F69" s="734"/>
      <c r="J69" s="684" t="str">
        <f t="shared" si="3"/>
        <v/>
      </c>
    </row>
    <row r="70" spans="1:10" s="686" customFormat="1" ht="12.75">
      <c r="A70" s="720"/>
      <c r="B70" s="702"/>
      <c r="C70" s="702"/>
      <c r="D70" s="707"/>
      <c r="E70" s="707"/>
      <c r="F70" s="709"/>
      <c r="H70" s="684"/>
      <c r="J70" s="684" t="str">
        <f t="shared" si="3"/>
        <v/>
      </c>
    </row>
    <row r="71" spans="2:10" ht="12.75">
      <c r="B71" s="702"/>
      <c r="C71" s="702"/>
      <c r="D71" s="707"/>
      <c r="E71" s="707"/>
      <c r="F71" s="709"/>
      <c r="J71" s="684" t="str">
        <f t="shared" si="3"/>
        <v/>
      </c>
    </row>
    <row r="72" spans="1:10" s="686" customFormat="1" ht="12.75">
      <c r="A72" s="720"/>
      <c r="B72" s="684"/>
      <c r="C72" s="684"/>
      <c r="D72" s="685"/>
      <c r="E72" s="685"/>
      <c r="F72" s="718"/>
      <c r="H72" s="684"/>
      <c r="J72" s="684" t="str">
        <f t="shared" si="3"/>
        <v/>
      </c>
    </row>
    <row r="73" spans="3:10" ht="12.75">
      <c r="C73" s="686"/>
      <c r="D73" s="723"/>
      <c r="E73" s="723"/>
      <c r="F73" s="722"/>
      <c r="J73" s="684" t="str">
        <f t="shared" si="3"/>
        <v/>
      </c>
    </row>
    <row r="74" ht="12.75">
      <c r="J74" s="684" t="str">
        <f t="shared" si="3"/>
        <v/>
      </c>
    </row>
    <row r="75" ht="12.75">
      <c r="J75" s="684" t="str">
        <f t="shared" si="3"/>
        <v/>
      </c>
    </row>
    <row r="76" ht="12.75">
      <c r="J76" s="684" t="str">
        <f t="shared" si="3"/>
        <v/>
      </c>
    </row>
    <row r="77" ht="12.75">
      <c r="J77" s="684" t="str">
        <f t="shared" si="3"/>
        <v/>
      </c>
    </row>
    <row r="78" ht="12.75">
      <c r="J78" s="684" t="str">
        <f t="shared" si="3"/>
        <v/>
      </c>
    </row>
    <row r="79" ht="12.75">
      <c r="J79" s="684" t="str">
        <f t="shared" si="3"/>
        <v/>
      </c>
    </row>
    <row r="80" ht="12.75">
      <c r="J80" s="684" t="str">
        <f t="shared" si="3"/>
        <v/>
      </c>
    </row>
    <row r="81" ht="12.75">
      <c r="J81" s="684" t="str">
        <f t="shared" si="3"/>
        <v/>
      </c>
    </row>
    <row r="82" ht="12.75">
      <c r="J82" s="684" t="str">
        <f t="shared" si="3"/>
        <v/>
      </c>
    </row>
    <row r="83" ht="12.75">
      <c r="J83" s="684" t="str">
        <f t="shared" si="3"/>
        <v/>
      </c>
    </row>
    <row r="84" ht="12.75">
      <c r="J84" s="684" t="str">
        <f t="shared" si="3"/>
        <v/>
      </c>
    </row>
    <row r="85" ht="12.75">
      <c r="J85" s="684" t="str">
        <f t="shared" si="3"/>
        <v/>
      </c>
    </row>
    <row r="86" ht="12.75">
      <c r="J86" s="684" t="str">
        <f t="shared" si="3"/>
        <v/>
      </c>
    </row>
    <row r="87" ht="12.75">
      <c r="J87" s="684" t="str">
        <f t="shared" si="3"/>
        <v/>
      </c>
    </row>
    <row r="88" ht="12.75">
      <c r="J88" s="684" t="str">
        <f t="shared" si="3"/>
        <v/>
      </c>
    </row>
    <row r="89" ht="12.75">
      <c r="J89" s="684" t="str">
        <f t="shared" si="3"/>
        <v/>
      </c>
    </row>
    <row r="90" ht="12.75">
      <c r="J90" s="684" t="str">
        <f t="shared" si="3"/>
        <v/>
      </c>
    </row>
    <row r="91" ht="12.75">
      <c r="J91" s="684" t="str">
        <f t="shared" si="3"/>
        <v/>
      </c>
    </row>
    <row r="92" spans="1:10" s="686" customFormat="1" ht="12.75">
      <c r="A92" s="720"/>
      <c r="C92" s="684"/>
      <c r="D92" s="685"/>
      <c r="E92" s="685"/>
      <c r="F92" s="718"/>
      <c r="H92" s="684"/>
      <c r="J92" s="684" t="str">
        <f t="shared" si="3"/>
        <v/>
      </c>
    </row>
    <row r="93" spans="3:10" ht="12.75">
      <c r="C93" s="686"/>
      <c r="D93" s="723"/>
      <c r="E93" s="723"/>
      <c r="F93" s="722"/>
      <c r="J93" s="684" t="str">
        <f t="shared" si="3"/>
        <v/>
      </c>
    </row>
    <row r="94" spans="1:10" s="686" customFormat="1" ht="12.75">
      <c r="A94" s="720"/>
      <c r="C94" s="684"/>
      <c r="D94" s="685"/>
      <c r="E94" s="685"/>
      <c r="F94" s="718"/>
      <c r="H94" s="684"/>
      <c r="J94" s="684" t="str">
        <f t="shared" si="3"/>
        <v/>
      </c>
    </row>
    <row r="95" spans="3:10" ht="12.75">
      <c r="C95" s="686"/>
      <c r="D95" s="723"/>
      <c r="E95" s="723"/>
      <c r="F95" s="722"/>
      <c r="J95" s="684" t="str">
        <f t="shared" si="3"/>
        <v/>
      </c>
    </row>
    <row r="96" ht="12.75">
      <c r="J96" s="684" t="str">
        <f t="shared" si="3"/>
        <v/>
      </c>
    </row>
    <row r="97" ht="12.75">
      <c r="J97" s="684" t="str">
        <f t="shared" si="3"/>
        <v/>
      </c>
    </row>
    <row r="98" ht="12.75">
      <c r="J98" s="684" t="str">
        <f t="shared" si="3"/>
        <v/>
      </c>
    </row>
    <row r="99" ht="12.75">
      <c r="J99" s="684" t="str">
        <f t="shared" si="3"/>
        <v/>
      </c>
    </row>
    <row r="100" ht="12.75">
      <c r="J100" s="684" t="str">
        <f t="shared" si="3"/>
        <v/>
      </c>
    </row>
    <row r="101" ht="12.75">
      <c r="J101" s="684" t="str">
        <f t="shared" si="3"/>
        <v/>
      </c>
    </row>
    <row r="102" ht="12.75">
      <c r="J102" s="684" t="str">
        <f t="shared" si="3"/>
        <v/>
      </c>
    </row>
    <row r="103" ht="12.75">
      <c r="J103" s="684" t="str">
        <f t="shared" si="3"/>
        <v/>
      </c>
    </row>
    <row r="104" spans="1:10" s="686" customFormat="1" ht="12.75">
      <c r="A104" s="720"/>
      <c r="C104" s="684"/>
      <c r="D104" s="685"/>
      <c r="E104" s="685"/>
      <c r="F104" s="718"/>
      <c r="H104" s="684"/>
      <c r="J104" s="684" t="str">
        <f t="shared" si="3"/>
        <v/>
      </c>
    </row>
    <row r="105" spans="3:10" ht="12.75">
      <c r="C105" s="686"/>
      <c r="D105" s="723"/>
      <c r="E105" s="723"/>
      <c r="F105" s="722"/>
      <c r="J105" s="684" t="str">
        <f t="shared" si="3"/>
        <v/>
      </c>
    </row>
    <row r="106" spans="1:10" s="686" customFormat="1" ht="12.75">
      <c r="A106" s="720"/>
      <c r="C106" s="684"/>
      <c r="D106" s="685"/>
      <c r="E106" s="685"/>
      <c r="F106" s="718"/>
      <c r="H106" s="684"/>
      <c r="J106" s="684" t="str">
        <f t="shared" si="3"/>
        <v/>
      </c>
    </row>
    <row r="107" spans="3:10" ht="12.75">
      <c r="C107" s="686"/>
      <c r="D107" s="723"/>
      <c r="E107" s="723"/>
      <c r="F107" s="722"/>
      <c r="J107" s="684" t="str">
        <f t="shared" si="3"/>
        <v/>
      </c>
    </row>
    <row r="108" ht="12.75">
      <c r="J108" s="684" t="str">
        <f t="shared" si="3"/>
        <v/>
      </c>
    </row>
    <row r="109" spans="1:10" s="686" customFormat="1" ht="12.75">
      <c r="A109" s="720"/>
      <c r="C109" s="684"/>
      <c r="D109" s="685"/>
      <c r="E109" s="685"/>
      <c r="F109" s="718"/>
      <c r="H109" s="684"/>
      <c r="J109" s="684" t="str">
        <f t="shared" si="3"/>
        <v/>
      </c>
    </row>
    <row r="110" spans="3:10" ht="12.75">
      <c r="C110" s="686"/>
      <c r="D110" s="723"/>
      <c r="E110" s="723"/>
      <c r="F110" s="722"/>
      <c r="J110" s="684" t="str">
        <f t="shared" si="3"/>
        <v/>
      </c>
    </row>
    <row r="111" spans="1:10" s="686" customFormat="1" ht="12.75">
      <c r="A111" s="720"/>
      <c r="C111" s="684"/>
      <c r="D111" s="685"/>
      <c r="E111" s="685"/>
      <c r="F111" s="718"/>
      <c r="H111" s="684"/>
      <c r="J111" s="684" t="str">
        <f t="shared" si="3"/>
        <v/>
      </c>
    </row>
    <row r="112" spans="3:10" ht="12.75">
      <c r="C112" s="686"/>
      <c r="D112" s="723"/>
      <c r="E112" s="723"/>
      <c r="F112" s="722"/>
      <c r="J112" s="684" t="str">
        <f t="shared" si="3"/>
        <v/>
      </c>
    </row>
    <row r="113" ht="12.75">
      <c r="J113" s="684" t="str">
        <f t="shared" si="3"/>
        <v/>
      </c>
    </row>
    <row r="114" ht="12.75">
      <c r="J114" s="684" t="str">
        <f t="shared" si="3"/>
        <v/>
      </c>
    </row>
    <row r="115" spans="1:10" s="686" customFormat="1" ht="12.75">
      <c r="A115" s="720"/>
      <c r="C115" s="684"/>
      <c r="D115" s="685"/>
      <c r="E115" s="685"/>
      <c r="F115" s="718"/>
      <c r="H115" s="684"/>
      <c r="J115" s="684" t="str">
        <f t="shared" si="3"/>
        <v/>
      </c>
    </row>
    <row r="116" spans="3:10" ht="12.75">
      <c r="C116" s="686"/>
      <c r="D116" s="723"/>
      <c r="E116" s="723"/>
      <c r="F116" s="722"/>
      <c r="J116" s="684" t="str">
        <f t="shared" si="3"/>
        <v/>
      </c>
    </row>
    <row r="117" spans="1:10" s="686" customFormat="1" ht="12.75">
      <c r="A117" s="720"/>
      <c r="C117" s="684"/>
      <c r="D117" s="685"/>
      <c r="E117" s="685"/>
      <c r="F117" s="718"/>
      <c r="H117" s="684"/>
      <c r="J117" s="684" t="str">
        <f t="shared" si="3"/>
        <v/>
      </c>
    </row>
    <row r="118" spans="3:10" ht="12.75">
      <c r="C118" s="686"/>
      <c r="D118" s="723"/>
      <c r="E118" s="723"/>
      <c r="F118" s="722"/>
      <c r="J118" s="684" t="str">
        <f t="shared" si="3"/>
        <v/>
      </c>
    </row>
    <row r="119" ht="12.75">
      <c r="J119" s="684" t="str">
        <f t="shared" si="3"/>
        <v/>
      </c>
    </row>
    <row r="120" spans="1:10" s="686" customFormat="1" ht="12.75">
      <c r="A120" s="720"/>
      <c r="C120" s="684"/>
      <c r="D120" s="685"/>
      <c r="E120" s="685"/>
      <c r="F120" s="718"/>
      <c r="H120" s="684"/>
      <c r="J120" s="684" t="str">
        <f t="shared" si="3"/>
        <v/>
      </c>
    </row>
    <row r="121" spans="3:10" ht="12.75">
      <c r="C121" s="686"/>
      <c r="D121" s="723"/>
      <c r="E121" s="723"/>
      <c r="F121" s="722"/>
      <c r="J121" s="684" t="str">
        <f t="shared" si="3"/>
        <v/>
      </c>
    </row>
    <row r="122" spans="1:10" s="686" customFormat="1" ht="12.75">
      <c r="A122" s="720"/>
      <c r="C122" s="684"/>
      <c r="D122" s="685"/>
      <c r="E122" s="685"/>
      <c r="F122" s="718"/>
      <c r="H122" s="684"/>
      <c r="J122" s="684" t="str">
        <f t="shared" si="3"/>
        <v/>
      </c>
    </row>
    <row r="123" spans="3:10" ht="12.75">
      <c r="C123" s="686"/>
      <c r="D123" s="723"/>
      <c r="E123" s="723"/>
      <c r="F123" s="722"/>
      <c r="J123" s="684" t="str">
        <f t="shared" si="3"/>
        <v/>
      </c>
    </row>
    <row r="124" ht="12.75">
      <c r="J124" s="684" t="str">
        <f t="shared" si="3"/>
        <v/>
      </c>
    </row>
    <row r="125" spans="1:10" s="686" customFormat="1" ht="12.75">
      <c r="A125" s="720"/>
      <c r="C125" s="684"/>
      <c r="D125" s="685"/>
      <c r="E125" s="685"/>
      <c r="F125" s="718"/>
      <c r="H125" s="684"/>
      <c r="J125" s="684" t="str">
        <f t="shared" si="3"/>
        <v/>
      </c>
    </row>
    <row r="126" spans="3:10" ht="12.75">
      <c r="C126" s="686"/>
      <c r="D126" s="723"/>
      <c r="E126" s="723"/>
      <c r="F126" s="722"/>
      <c r="J126" s="684" t="str">
        <f t="shared" si="3"/>
        <v/>
      </c>
    </row>
    <row r="127" spans="1:10" s="686" customFormat="1" ht="12.75">
      <c r="A127" s="720"/>
      <c r="C127" s="684"/>
      <c r="D127" s="685"/>
      <c r="E127" s="685"/>
      <c r="F127" s="718"/>
      <c r="H127" s="684"/>
      <c r="J127" s="684" t="str">
        <f t="shared" si="3"/>
        <v/>
      </c>
    </row>
    <row r="128" spans="3:10" ht="12.75">
      <c r="C128" s="686"/>
      <c r="D128" s="723"/>
      <c r="E128" s="723"/>
      <c r="F128" s="722"/>
      <c r="J128" s="684" t="str">
        <f t="shared" si="3"/>
        <v/>
      </c>
    </row>
    <row r="129" ht="12.75">
      <c r="J129" s="684" t="str">
        <f t="shared" si="3"/>
        <v/>
      </c>
    </row>
    <row r="130" ht="12.75">
      <c r="J130" s="684" t="str">
        <f t="shared" si="3"/>
        <v/>
      </c>
    </row>
    <row r="131" ht="12.75">
      <c r="J131" s="684" t="str">
        <f aca="true" t="shared" si="4" ref="J131:J194">IF(H131=0,"",F132*0.22)</f>
        <v/>
      </c>
    </row>
    <row r="132" spans="1:10" s="686" customFormat="1" ht="12.75">
      <c r="A132" s="720"/>
      <c r="C132" s="684"/>
      <c r="D132" s="685"/>
      <c r="E132" s="685"/>
      <c r="F132" s="718"/>
      <c r="H132" s="684"/>
      <c r="J132" s="684" t="str">
        <f t="shared" si="4"/>
        <v/>
      </c>
    </row>
    <row r="133" spans="3:10" ht="12.75">
      <c r="C133" s="686"/>
      <c r="D133" s="723"/>
      <c r="E133" s="723"/>
      <c r="F133" s="722"/>
      <c r="J133" s="684" t="str">
        <f t="shared" si="4"/>
        <v/>
      </c>
    </row>
    <row r="134" spans="1:10" s="686" customFormat="1" ht="12.75">
      <c r="A134" s="720"/>
      <c r="C134" s="684"/>
      <c r="D134" s="685"/>
      <c r="E134" s="685"/>
      <c r="F134" s="718"/>
      <c r="H134" s="684"/>
      <c r="J134" s="684" t="str">
        <f t="shared" si="4"/>
        <v/>
      </c>
    </row>
    <row r="135" spans="3:10" ht="12.75">
      <c r="C135" s="686"/>
      <c r="D135" s="723"/>
      <c r="E135" s="723"/>
      <c r="F135" s="722"/>
      <c r="J135" s="684" t="str">
        <f t="shared" si="4"/>
        <v/>
      </c>
    </row>
    <row r="136" ht="12.75">
      <c r="J136" s="684" t="str">
        <f t="shared" si="4"/>
        <v/>
      </c>
    </row>
    <row r="137" spans="1:10" s="686" customFormat="1" ht="12.75">
      <c r="A137" s="720"/>
      <c r="C137" s="684"/>
      <c r="D137" s="685"/>
      <c r="E137" s="685"/>
      <c r="F137" s="718"/>
      <c r="H137" s="684"/>
      <c r="J137" s="684" t="str">
        <f t="shared" si="4"/>
        <v/>
      </c>
    </row>
    <row r="138" spans="3:10" ht="12.75">
      <c r="C138" s="686"/>
      <c r="D138" s="723"/>
      <c r="E138" s="723"/>
      <c r="F138" s="722"/>
      <c r="J138" s="684" t="str">
        <f t="shared" si="4"/>
        <v/>
      </c>
    </row>
    <row r="139" spans="1:10" s="686" customFormat="1" ht="12.75">
      <c r="A139" s="720"/>
      <c r="C139" s="684"/>
      <c r="D139" s="685"/>
      <c r="E139" s="685"/>
      <c r="F139" s="718"/>
      <c r="H139" s="684"/>
      <c r="J139" s="684" t="str">
        <f t="shared" si="4"/>
        <v/>
      </c>
    </row>
    <row r="140" spans="3:10" ht="12.75">
      <c r="C140" s="686"/>
      <c r="D140" s="723"/>
      <c r="E140" s="723"/>
      <c r="F140" s="722"/>
      <c r="J140" s="684" t="str">
        <f t="shared" si="4"/>
        <v/>
      </c>
    </row>
    <row r="141" ht="12.75">
      <c r="J141" s="684" t="str">
        <f t="shared" si="4"/>
        <v/>
      </c>
    </row>
    <row r="142" ht="12.75">
      <c r="J142" s="684" t="str">
        <f t="shared" si="4"/>
        <v/>
      </c>
    </row>
    <row r="143" ht="12.75">
      <c r="J143" s="684" t="str">
        <f t="shared" si="4"/>
        <v/>
      </c>
    </row>
    <row r="144" ht="12.75">
      <c r="J144" s="684" t="str">
        <f t="shared" si="4"/>
        <v/>
      </c>
    </row>
    <row r="145" ht="12.75">
      <c r="J145" s="684" t="str">
        <f t="shared" si="4"/>
        <v/>
      </c>
    </row>
    <row r="146" ht="12.75">
      <c r="J146" s="684" t="str">
        <f t="shared" si="4"/>
        <v/>
      </c>
    </row>
    <row r="147" ht="12.75">
      <c r="J147" s="684" t="str">
        <f t="shared" si="4"/>
        <v/>
      </c>
    </row>
    <row r="148" ht="12.75">
      <c r="J148" s="684" t="str">
        <f t="shared" si="4"/>
        <v/>
      </c>
    </row>
    <row r="149" ht="12.75">
      <c r="J149" s="684" t="str">
        <f t="shared" si="4"/>
        <v/>
      </c>
    </row>
    <row r="150" ht="12.75">
      <c r="J150" s="684" t="str">
        <f t="shared" si="4"/>
        <v/>
      </c>
    </row>
    <row r="151" ht="12.75">
      <c r="J151" s="684" t="str">
        <f t="shared" si="4"/>
        <v/>
      </c>
    </row>
    <row r="152" ht="12.75">
      <c r="J152" s="684" t="str">
        <f t="shared" si="4"/>
        <v/>
      </c>
    </row>
    <row r="153" ht="12.75">
      <c r="J153" s="684" t="str">
        <f t="shared" si="4"/>
        <v/>
      </c>
    </row>
    <row r="154" ht="12.75">
      <c r="J154" s="684" t="str">
        <f t="shared" si="4"/>
        <v/>
      </c>
    </row>
    <row r="155" ht="12.75">
      <c r="J155" s="684" t="str">
        <f t="shared" si="4"/>
        <v/>
      </c>
    </row>
    <row r="156" ht="12.75">
      <c r="J156" s="684" t="str">
        <f t="shared" si="4"/>
        <v/>
      </c>
    </row>
    <row r="157" ht="12.75">
      <c r="J157" s="684" t="str">
        <f t="shared" si="4"/>
        <v/>
      </c>
    </row>
    <row r="158" ht="12.75">
      <c r="J158" s="684" t="str">
        <f t="shared" si="4"/>
        <v/>
      </c>
    </row>
    <row r="159" ht="12.75">
      <c r="J159" s="684" t="str">
        <f t="shared" si="4"/>
        <v/>
      </c>
    </row>
    <row r="160" ht="12.75">
      <c r="J160" s="684" t="str">
        <f t="shared" si="4"/>
        <v/>
      </c>
    </row>
    <row r="161" ht="12.75">
      <c r="J161" s="684" t="str">
        <f t="shared" si="4"/>
        <v/>
      </c>
    </row>
    <row r="162" ht="12.75">
      <c r="J162" s="684" t="str">
        <f t="shared" si="4"/>
        <v/>
      </c>
    </row>
    <row r="163" spans="1:10" s="686" customFormat="1" ht="12.75">
      <c r="A163" s="720"/>
      <c r="C163" s="684"/>
      <c r="D163" s="685"/>
      <c r="E163" s="685"/>
      <c r="F163" s="718"/>
      <c r="H163" s="684"/>
      <c r="J163" s="684" t="str">
        <f t="shared" si="4"/>
        <v/>
      </c>
    </row>
    <row r="164" spans="3:10" ht="12.75">
      <c r="C164" s="686"/>
      <c r="D164" s="723"/>
      <c r="E164" s="723"/>
      <c r="F164" s="722"/>
      <c r="J164" s="684" t="str">
        <f t="shared" si="4"/>
        <v/>
      </c>
    </row>
    <row r="165" spans="1:10" s="686" customFormat="1" ht="12.75">
      <c r="A165" s="720"/>
      <c r="C165" s="684"/>
      <c r="D165" s="685"/>
      <c r="E165" s="685"/>
      <c r="F165" s="718"/>
      <c r="H165" s="684"/>
      <c r="J165" s="684" t="str">
        <f t="shared" si="4"/>
        <v/>
      </c>
    </row>
    <row r="166" spans="3:10" ht="12.75">
      <c r="C166" s="686"/>
      <c r="D166" s="723"/>
      <c r="E166" s="723"/>
      <c r="F166" s="722"/>
      <c r="J166" s="684" t="str">
        <f t="shared" si="4"/>
        <v/>
      </c>
    </row>
    <row r="167" ht="12.75">
      <c r="J167" s="684" t="str">
        <f t="shared" si="4"/>
        <v/>
      </c>
    </row>
    <row r="168" ht="12.75">
      <c r="J168" s="684" t="str">
        <f t="shared" si="4"/>
        <v/>
      </c>
    </row>
    <row r="169" spans="1:10" s="686" customFormat="1" ht="12.75">
      <c r="A169" s="720"/>
      <c r="C169" s="684"/>
      <c r="D169" s="685"/>
      <c r="E169" s="685"/>
      <c r="F169" s="718"/>
      <c r="H169" s="684"/>
      <c r="J169" s="684" t="str">
        <f t="shared" si="4"/>
        <v/>
      </c>
    </row>
    <row r="170" spans="3:10" ht="12.75">
      <c r="C170" s="686"/>
      <c r="D170" s="723"/>
      <c r="E170" s="723"/>
      <c r="F170" s="722"/>
      <c r="J170" s="684" t="str">
        <f t="shared" si="4"/>
        <v/>
      </c>
    </row>
    <row r="171" spans="1:10" s="686" customFormat="1" ht="12.75">
      <c r="A171" s="720"/>
      <c r="C171" s="684"/>
      <c r="D171" s="685"/>
      <c r="E171" s="685"/>
      <c r="F171" s="718"/>
      <c r="H171" s="684"/>
      <c r="J171" s="684" t="str">
        <f t="shared" si="4"/>
        <v/>
      </c>
    </row>
    <row r="172" spans="3:10" ht="12.75">
      <c r="C172" s="686"/>
      <c r="D172" s="723"/>
      <c r="E172" s="723"/>
      <c r="F172" s="722"/>
      <c r="J172" s="684" t="str">
        <f t="shared" si="4"/>
        <v/>
      </c>
    </row>
    <row r="173" ht="12.75">
      <c r="J173" s="684" t="str">
        <f t="shared" si="4"/>
        <v/>
      </c>
    </row>
    <row r="174" ht="12.75">
      <c r="J174" s="684" t="str">
        <f t="shared" si="4"/>
        <v/>
      </c>
    </row>
    <row r="175" spans="1:10" s="686" customFormat="1" ht="12.75">
      <c r="A175" s="720"/>
      <c r="C175" s="684"/>
      <c r="D175" s="685"/>
      <c r="E175" s="685"/>
      <c r="F175" s="718"/>
      <c r="H175" s="684"/>
      <c r="J175" s="684" t="str">
        <f t="shared" si="4"/>
        <v/>
      </c>
    </row>
    <row r="176" spans="3:10" ht="12.75">
      <c r="C176" s="686"/>
      <c r="D176" s="723"/>
      <c r="E176" s="723"/>
      <c r="F176" s="722"/>
      <c r="J176" s="684" t="str">
        <f t="shared" si="4"/>
        <v/>
      </c>
    </row>
    <row r="177" spans="1:10" s="686" customFormat="1" ht="12.75">
      <c r="A177" s="720"/>
      <c r="C177" s="684"/>
      <c r="D177" s="685"/>
      <c r="E177" s="685"/>
      <c r="F177" s="718"/>
      <c r="H177" s="684"/>
      <c r="J177" s="684" t="str">
        <f t="shared" si="4"/>
        <v/>
      </c>
    </row>
    <row r="178" spans="3:10" ht="12.75">
      <c r="C178" s="686"/>
      <c r="D178" s="723"/>
      <c r="E178" s="723"/>
      <c r="F178" s="722"/>
      <c r="J178" s="684" t="str">
        <f t="shared" si="4"/>
        <v/>
      </c>
    </row>
    <row r="179" ht="12.75">
      <c r="J179" s="684" t="str">
        <f t="shared" si="4"/>
        <v/>
      </c>
    </row>
    <row r="180" ht="12.75">
      <c r="J180" s="684" t="str">
        <f t="shared" si="4"/>
        <v/>
      </c>
    </row>
    <row r="181" ht="12.75">
      <c r="J181" s="684" t="str">
        <f t="shared" si="4"/>
        <v/>
      </c>
    </row>
    <row r="182" spans="1:10" s="686" customFormat="1" ht="12.75">
      <c r="A182" s="720"/>
      <c r="C182" s="684"/>
      <c r="D182" s="685"/>
      <c r="E182" s="685"/>
      <c r="F182" s="718"/>
      <c r="H182" s="684"/>
      <c r="J182" s="684" t="str">
        <f t="shared" si="4"/>
        <v/>
      </c>
    </row>
    <row r="183" spans="3:10" ht="12.75">
      <c r="C183" s="686"/>
      <c r="D183" s="723"/>
      <c r="E183" s="723"/>
      <c r="F183" s="722"/>
      <c r="J183" s="684" t="str">
        <f t="shared" si="4"/>
        <v/>
      </c>
    </row>
    <row r="184" spans="1:10" s="686" customFormat="1" ht="12.75">
      <c r="A184" s="720"/>
      <c r="C184" s="684"/>
      <c r="D184" s="685"/>
      <c r="E184" s="685"/>
      <c r="F184" s="718"/>
      <c r="H184" s="684"/>
      <c r="J184" s="684" t="str">
        <f t="shared" si="4"/>
        <v/>
      </c>
    </row>
    <row r="185" spans="3:10" ht="12.75">
      <c r="C185" s="686"/>
      <c r="D185" s="723"/>
      <c r="E185" s="723"/>
      <c r="F185" s="722"/>
      <c r="J185" s="684" t="str">
        <f t="shared" si="4"/>
        <v/>
      </c>
    </row>
    <row r="186" ht="12.75">
      <c r="J186" s="684" t="str">
        <f t="shared" si="4"/>
        <v/>
      </c>
    </row>
    <row r="187" ht="12.75">
      <c r="J187" s="684" t="str">
        <f t="shared" si="4"/>
        <v/>
      </c>
    </row>
    <row r="188" spans="1:10" s="686" customFormat="1" ht="12.75">
      <c r="A188" s="720"/>
      <c r="C188" s="684"/>
      <c r="D188" s="685"/>
      <c r="E188" s="685"/>
      <c r="F188" s="718"/>
      <c r="H188" s="684"/>
      <c r="J188" s="684" t="str">
        <f t="shared" si="4"/>
        <v/>
      </c>
    </row>
    <row r="189" spans="3:10" ht="12.75">
      <c r="C189" s="686"/>
      <c r="D189" s="723"/>
      <c r="E189" s="723"/>
      <c r="F189" s="722"/>
      <c r="J189" s="684" t="str">
        <f t="shared" si="4"/>
        <v/>
      </c>
    </row>
    <row r="190" spans="1:10" s="686" customFormat="1" ht="12.75">
      <c r="A190" s="720"/>
      <c r="C190" s="684"/>
      <c r="D190" s="685"/>
      <c r="E190" s="685"/>
      <c r="F190" s="718"/>
      <c r="H190" s="684"/>
      <c r="J190" s="684" t="str">
        <f t="shared" si="4"/>
        <v/>
      </c>
    </row>
    <row r="191" spans="3:10" ht="12.75">
      <c r="C191" s="686"/>
      <c r="D191" s="723"/>
      <c r="E191" s="723"/>
      <c r="F191" s="722"/>
      <c r="J191" s="684" t="str">
        <f t="shared" si="4"/>
        <v/>
      </c>
    </row>
    <row r="192" ht="12.75">
      <c r="J192" s="684" t="str">
        <f t="shared" si="4"/>
        <v/>
      </c>
    </row>
    <row r="193" spans="1:10" s="686" customFormat="1" ht="12.75">
      <c r="A193" s="720"/>
      <c r="C193" s="684"/>
      <c r="D193" s="685"/>
      <c r="E193" s="685"/>
      <c r="F193" s="718"/>
      <c r="H193" s="684"/>
      <c r="J193" s="684" t="str">
        <f t="shared" si="4"/>
        <v/>
      </c>
    </row>
    <row r="194" spans="3:10" ht="12.75">
      <c r="C194" s="686"/>
      <c r="D194" s="723"/>
      <c r="E194" s="723"/>
      <c r="F194" s="722"/>
      <c r="J194" s="684" t="str">
        <f t="shared" si="4"/>
        <v/>
      </c>
    </row>
    <row r="195" ht="12.75">
      <c r="J195" s="684" t="str">
        <f aca="true" t="shared" si="5" ref="J195:J258">IF(H195=0,"",F196*0.22)</f>
        <v/>
      </c>
    </row>
    <row r="196" ht="12.75">
      <c r="J196" s="684" t="str">
        <f t="shared" si="5"/>
        <v/>
      </c>
    </row>
    <row r="197" ht="12.75">
      <c r="J197" s="684" t="str">
        <f t="shared" si="5"/>
        <v/>
      </c>
    </row>
    <row r="198" ht="12.75">
      <c r="J198" s="684" t="str">
        <f t="shared" si="5"/>
        <v/>
      </c>
    </row>
    <row r="199" ht="12.75">
      <c r="J199" s="684" t="str">
        <f t="shared" si="5"/>
        <v/>
      </c>
    </row>
    <row r="200" ht="12.75">
      <c r="J200" s="684" t="str">
        <f t="shared" si="5"/>
        <v/>
      </c>
    </row>
    <row r="201" ht="12.75">
      <c r="J201" s="684" t="str">
        <f t="shared" si="5"/>
        <v/>
      </c>
    </row>
    <row r="202" ht="12.75">
      <c r="J202" s="684" t="str">
        <f t="shared" si="5"/>
        <v/>
      </c>
    </row>
    <row r="203" ht="12.75">
      <c r="J203" s="684" t="str">
        <f t="shared" si="5"/>
        <v/>
      </c>
    </row>
    <row r="204" ht="12.75">
      <c r="J204" s="684" t="str">
        <f t="shared" si="5"/>
        <v/>
      </c>
    </row>
    <row r="205" ht="12.75">
      <c r="J205" s="684" t="str">
        <f t="shared" si="5"/>
        <v/>
      </c>
    </row>
    <row r="206" ht="12.75">
      <c r="J206" s="684" t="str">
        <f t="shared" si="5"/>
        <v/>
      </c>
    </row>
    <row r="207" ht="12.75">
      <c r="J207" s="684" t="str">
        <f t="shared" si="5"/>
        <v/>
      </c>
    </row>
    <row r="208" ht="12.75">
      <c r="J208" s="684" t="str">
        <f t="shared" si="5"/>
        <v/>
      </c>
    </row>
    <row r="209" ht="12.75">
      <c r="J209" s="684" t="str">
        <f t="shared" si="5"/>
        <v/>
      </c>
    </row>
    <row r="210" ht="12.75">
      <c r="J210" s="684" t="str">
        <f t="shared" si="5"/>
        <v/>
      </c>
    </row>
    <row r="211" ht="12.75">
      <c r="J211" s="684" t="str">
        <f t="shared" si="5"/>
        <v/>
      </c>
    </row>
    <row r="212" ht="12.75">
      <c r="J212" s="684" t="str">
        <f t="shared" si="5"/>
        <v/>
      </c>
    </row>
    <row r="213" ht="12.75">
      <c r="J213" s="684" t="str">
        <f t="shared" si="5"/>
        <v/>
      </c>
    </row>
    <row r="214" ht="12.75">
      <c r="J214" s="684" t="str">
        <f t="shared" si="5"/>
        <v/>
      </c>
    </row>
    <row r="215" ht="12.75">
      <c r="J215" s="684" t="str">
        <f t="shared" si="5"/>
        <v/>
      </c>
    </row>
    <row r="216" ht="12.75">
      <c r="J216" s="684" t="str">
        <f t="shared" si="5"/>
        <v/>
      </c>
    </row>
    <row r="217" ht="12.75">
      <c r="J217" s="684" t="str">
        <f t="shared" si="5"/>
        <v/>
      </c>
    </row>
    <row r="218" ht="12.75">
      <c r="J218" s="684" t="str">
        <f t="shared" si="5"/>
        <v/>
      </c>
    </row>
    <row r="219" ht="12.75">
      <c r="J219" s="684" t="str">
        <f t="shared" si="5"/>
        <v/>
      </c>
    </row>
    <row r="220" ht="12.75">
      <c r="J220" s="684" t="str">
        <f t="shared" si="5"/>
        <v/>
      </c>
    </row>
    <row r="221" ht="12.75">
      <c r="J221" s="684" t="str">
        <f t="shared" si="5"/>
        <v/>
      </c>
    </row>
    <row r="222" ht="12.75">
      <c r="J222" s="684" t="str">
        <f t="shared" si="5"/>
        <v/>
      </c>
    </row>
    <row r="223" ht="12.75">
      <c r="J223" s="684" t="str">
        <f t="shared" si="5"/>
        <v/>
      </c>
    </row>
    <row r="224" ht="12.75">
      <c r="J224" s="684" t="str">
        <f t="shared" si="5"/>
        <v/>
      </c>
    </row>
    <row r="225" ht="12.75">
      <c r="J225" s="684" t="str">
        <f t="shared" si="5"/>
        <v/>
      </c>
    </row>
    <row r="226" ht="12.75">
      <c r="J226" s="684" t="str">
        <f t="shared" si="5"/>
        <v/>
      </c>
    </row>
    <row r="227" ht="12.75">
      <c r="J227" s="684" t="str">
        <f t="shared" si="5"/>
        <v/>
      </c>
    </row>
    <row r="228" ht="12.75">
      <c r="J228" s="684" t="str">
        <f t="shared" si="5"/>
        <v/>
      </c>
    </row>
    <row r="229" ht="12.75">
      <c r="J229" s="684" t="str">
        <f t="shared" si="5"/>
        <v/>
      </c>
    </row>
    <row r="230" ht="12.75">
      <c r="J230" s="684" t="str">
        <f t="shared" si="5"/>
        <v/>
      </c>
    </row>
    <row r="231" ht="12.75">
      <c r="J231" s="684" t="str">
        <f t="shared" si="5"/>
        <v/>
      </c>
    </row>
    <row r="232" ht="12.75">
      <c r="J232" s="684" t="str">
        <f t="shared" si="5"/>
        <v/>
      </c>
    </row>
    <row r="233" ht="12.75">
      <c r="J233" s="684" t="str">
        <f t="shared" si="5"/>
        <v/>
      </c>
    </row>
    <row r="234" ht="12.75">
      <c r="J234" s="684" t="str">
        <f t="shared" si="5"/>
        <v/>
      </c>
    </row>
    <row r="235" ht="12.75">
      <c r="J235" s="684" t="str">
        <f t="shared" si="5"/>
        <v/>
      </c>
    </row>
    <row r="236" ht="12.75">
      <c r="J236" s="684" t="str">
        <f t="shared" si="5"/>
        <v/>
      </c>
    </row>
    <row r="237" ht="12.75">
      <c r="J237" s="684" t="str">
        <f t="shared" si="5"/>
        <v/>
      </c>
    </row>
    <row r="238" ht="12.75">
      <c r="J238" s="684" t="str">
        <f t="shared" si="5"/>
        <v/>
      </c>
    </row>
    <row r="239" ht="12.75">
      <c r="J239" s="684" t="str">
        <f t="shared" si="5"/>
        <v/>
      </c>
    </row>
    <row r="240" ht="12.75">
      <c r="J240" s="684" t="str">
        <f t="shared" si="5"/>
        <v/>
      </c>
    </row>
    <row r="241" ht="12.75">
      <c r="J241" s="684" t="str">
        <f t="shared" si="5"/>
        <v/>
      </c>
    </row>
    <row r="242" ht="12.75">
      <c r="J242" s="684" t="str">
        <f t="shared" si="5"/>
        <v/>
      </c>
    </row>
    <row r="243" ht="12.75">
      <c r="J243" s="684" t="str">
        <f t="shared" si="5"/>
        <v/>
      </c>
    </row>
    <row r="244" ht="12.75">
      <c r="J244" s="684" t="str">
        <f t="shared" si="5"/>
        <v/>
      </c>
    </row>
    <row r="245" ht="12.75">
      <c r="J245" s="684" t="str">
        <f t="shared" si="5"/>
        <v/>
      </c>
    </row>
    <row r="246" ht="12.75">
      <c r="J246" s="684" t="str">
        <f t="shared" si="5"/>
        <v/>
      </c>
    </row>
    <row r="247" ht="12.75">
      <c r="J247" s="684" t="str">
        <f t="shared" si="5"/>
        <v/>
      </c>
    </row>
    <row r="248" ht="12.75">
      <c r="J248" s="684" t="str">
        <f t="shared" si="5"/>
        <v/>
      </c>
    </row>
    <row r="249" ht="12.75">
      <c r="J249" s="684" t="str">
        <f t="shared" si="5"/>
        <v/>
      </c>
    </row>
    <row r="250" ht="12.75">
      <c r="J250" s="684" t="str">
        <f t="shared" si="5"/>
        <v/>
      </c>
    </row>
    <row r="251" ht="12.75">
      <c r="J251" s="684" t="str">
        <f t="shared" si="5"/>
        <v/>
      </c>
    </row>
    <row r="252" ht="12.75">
      <c r="J252" s="684" t="str">
        <f t="shared" si="5"/>
        <v/>
      </c>
    </row>
    <row r="253" ht="12.75">
      <c r="J253" s="684" t="str">
        <f t="shared" si="5"/>
        <v/>
      </c>
    </row>
    <row r="254" ht="12.75">
      <c r="J254" s="684" t="str">
        <f t="shared" si="5"/>
        <v/>
      </c>
    </row>
    <row r="255" ht="12.75">
      <c r="J255" s="684" t="str">
        <f t="shared" si="5"/>
        <v/>
      </c>
    </row>
    <row r="256" ht="12.75">
      <c r="J256" s="684" t="str">
        <f t="shared" si="5"/>
        <v/>
      </c>
    </row>
    <row r="257" ht="12.75">
      <c r="J257" s="684" t="str">
        <f t="shared" si="5"/>
        <v/>
      </c>
    </row>
    <row r="258" ht="12.75">
      <c r="J258" s="684" t="str">
        <f t="shared" si="5"/>
        <v/>
      </c>
    </row>
    <row r="259" ht="12.75">
      <c r="J259" s="684" t="str">
        <f aca="true" t="shared" si="6" ref="J259:J322">IF(H259=0,"",F260*0.22)</f>
        <v/>
      </c>
    </row>
    <row r="260" ht="12.75">
      <c r="J260" s="684" t="str">
        <f t="shared" si="6"/>
        <v/>
      </c>
    </row>
    <row r="261" ht="12.75">
      <c r="J261" s="684" t="str">
        <f t="shared" si="6"/>
        <v/>
      </c>
    </row>
    <row r="262" ht="12.75">
      <c r="J262" s="684" t="str">
        <f t="shared" si="6"/>
        <v/>
      </c>
    </row>
    <row r="263" ht="12.75">
      <c r="J263" s="684" t="str">
        <f t="shared" si="6"/>
        <v/>
      </c>
    </row>
    <row r="264" ht="12.75">
      <c r="J264" s="684" t="str">
        <f t="shared" si="6"/>
        <v/>
      </c>
    </row>
    <row r="265" ht="12.75">
      <c r="J265" s="684" t="str">
        <f t="shared" si="6"/>
        <v/>
      </c>
    </row>
    <row r="266" ht="12.75">
      <c r="J266" s="684" t="str">
        <f t="shared" si="6"/>
        <v/>
      </c>
    </row>
    <row r="267" ht="12.75">
      <c r="J267" s="684" t="str">
        <f t="shared" si="6"/>
        <v/>
      </c>
    </row>
    <row r="268" ht="12.75">
      <c r="J268" s="684" t="str">
        <f t="shared" si="6"/>
        <v/>
      </c>
    </row>
    <row r="269" ht="12.75">
      <c r="J269" s="684" t="str">
        <f t="shared" si="6"/>
        <v/>
      </c>
    </row>
    <row r="270" ht="12.75">
      <c r="J270" s="684" t="str">
        <f t="shared" si="6"/>
        <v/>
      </c>
    </row>
    <row r="271" ht="12.75">
      <c r="J271" s="684" t="str">
        <f t="shared" si="6"/>
        <v/>
      </c>
    </row>
    <row r="272" ht="12.75">
      <c r="J272" s="684" t="str">
        <f t="shared" si="6"/>
        <v/>
      </c>
    </row>
    <row r="273" ht="12.75">
      <c r="J273" s="684" t="str">
        <f t="shared" si="6"/>
        <v/>
      </c>
    </row>
    <row r="274" ht="12.75">
      <c r="J274" s="684" t="str">
        <f t="shared" si="6"/>
        <v/>
      </c>
    </row>
    <row r="275" ht="12.75">
      <c r="J275" s="684" t="str">
        <f t="shared" si="6"/>
        <v/>
      </c>
    </row>
    <row r="276" ht="12.75">
      <c r="J276" s="684" t="str">
        <f t="shared" si="6"/>
        <v/>
      </c>
    </row>
    <row r="277" ht="12.75">
      <c r="J277" s="684" t="str">
        <f t="shared" si="6"/>
        <v/>
      </c>
    </row>
    <row r="278" ht="12.75">
      <c r="J278" s="684" t="str">
        <f t="shared" si="6"/>
        <v/>
      </c>
    </row>
    <row r="279" ht="12.75">
      <c r="J279" s="684" t="str">
        <f t="shared" si="6"/>
        <v/>
      </c>
    </row>
    <row r="280" ht="12.75">
      <c r="J280" s="684" t="str">
        <f t="shared" si="6"/>
        <v/>
      </c>
    </row>
    <row r="281" ht="12.75">
      <c r="J281" s="684" t="str">
        <f t="shared" si="6"/>
        <v/>
      </c>
    </row>
    <row r="282" ht="12.75">
      <c r="J282" s="684" t="str">
        <f t="shared" si="6"/>
        <v/>
      </c>
    </row>
    <row r="283" ht="12.75">
      <c r="J283" s="684" t="str">
        <f t="shared" si="6"/>
        <v/>
      </c>
    </row>
    <row r="284" ht="12.75">
      <c r="J284" s="684" t="str">
        <f t="shared" si="6"/>
        <v/>
      </c>
    </row>
    <row r="285" ht="12.75">
      <c r="J285" s="684" t="str">
        <f t="shared" si="6"/>
        <v/>
      </c>
    </row>
    <row r="286" ht="12.75">
      <c r="J286" s="684" t="str">
        <f t="shared" si="6"/>
        <v/>
      </c>
    </row>
    <row r="287" ht="12.75">
      <c r="J287" s="684" t="str">
        <f t="shared" si="6"/>
        <v/>
      </c>
    </row>
    <row r="288" ht="12.75">
      <c r="J288" s="684" t="str">
        <f t="shared" si="6"/>
        <v/>
      </c>
    </row>
    <row r="289" ht="12.75">
      <c r="J289" s="684" t="str">
        <f t="shared" si="6"/>
        <v/>
      </c>
    </row>
    <row r="290" ht="12.75">
      <c r="J290" s="684" t="str">
        <f t="shared" si="6"/>
        <v/>
      </c>
    </row>
    <row r="291" ht="12.75">
      <c r="J291" s="684" t="str">
        <f t="shared" si="6"/>
        <v/>
      </c>
    </row>
    <row r="292" ht="12.75">
      <c r="J292" s="684" t="str">
        <f t="shared" si="6"/>
        <v/>
      </c>
    </row>
    <row r="293" ht="12.75">
      <c r="J293" s="684" t="str">
        <f t="shared" si="6"/>
        <v/>
      </c>
    </row>
    <row r="294" ht="12.75">
      <c r="J294" s="684" t="str">
        <f t="shared" si="6"/>
        <v/>
      </c>
    </row>
    <row r="295" ht="12.75">
      <c r="J295" s="684" t="str">
        <f t="shared" si="6"/>
        <v/>
      </c>
    </row>
    <row r="296" ht="12.75">
      <c r="J296" s="684" t="str">
        <f t="shared" si="6"/>
        <v/>
      </c>
    </row>
    <row r="297" ht="12.75">
      <c r="J297" s="684" t="str">
        <f t="shared" si="6"/>
        <v/>
      </c>
    </row>
    <row r="298" ht="12.75">
      <c r="J298" s="684" t="str">
        <f t="shared" si="6"/>
        <v/>
      </c>
    </row>
    <row r="299" ht="12.75">
      <c r="J299" s="684" t="str">
        <f t="shared" si="6"/>
        <v/>
      </c>
    </row>
    <row r="300" ht="12.75">
      <c r="J300" s="684" t="str">
        <f t="shared" si="6"/>
        <v/>
      </c>
    </row>
    <row r="301" ht="12.75">
      <c r="J301" s="684" t="str">
        <f t="shared" si="6"/>
        <v/>
      </c>
    </row>
    <row r="302" ht="12.75">
      <c r="J302" s="684" t="str">
        <f t="shared" si="6"/>
        <v/>
      </c>
    </row>
    <row r="303" ht="12.75">
      <c r="J303" s="684" t="str">
        <f t="shared" si="6"/>
        <v/>
      </c>
    </row>
    <row r="304" ht="12.75">
      <c r="J304" s="684" t="str">
        <f t="shared" si="6"/>
        <v/>
      </c>
    </row>
    <row r="305" ht="12.75">
      <c r="J305" s="684" t="str">
        <f t="shared" si="6"/>
        <v/>
      </c>
    </row>
    <row r="306" ht="12.75">
      <c r="J306" s="684" t="str">
        <f t="shared" si="6"/>
        <v/>
      </c>
    </row>
    <row r="307" ht="12.75">
      <c r="J307" s="684" t="str">
        <f t="shared" si="6"/>
        <v/>
      </c>
    </row>
    <row r="308" ht="12.75">
      <c r="J308" s="684" t="str">
        <f t="shared" si="6"/>
        <v/>
      </c>
    </row>
    <row r="309" ht="12.75">
      <c r="J309" s="684" t="str">
        <f t="shared" si="6"/>
        <v/>
      </c>
    </row>
    <row r="310" ht="12.75">
      <c r="J310" s="684" t="str">
        <f t="shared" si="6"/>
        <v/>
      </c>
    </row>
    <row r="311" ht="12.75">
      <c r="J311" s="684" t="str">
        <f t="shared" si="6"/>
        <v/>
      </c>
    </row>
    <row r="312" ht="12.75">
      <c r="J312" s="684" t="str">
        <f t="shared" si="6"/>
        <v/>
      </c>
    </row>
    <row r="313" ht="12.75">
      <c r="J313" s="684" t="str">
        <f t="shared" si="6"/>
        <v/>
      </c>
    </row>
    <row r="314" ht="12.75">
      <c r="J314" s="684" t="str">
        <f t="shared" si="6"/>
        <v/>
      </c>
    </row>
    <row r="315" ht="12.75">
      <c r="J315" s="684" t="str">
        <f t="shared" si="6"/>
        <v/>
      </c>
    </row>
    <row r="316" ht="12.75">
      <c r="J316" s="684" t="str">
        <f t="shared" si="6"/>
        <v/>
      </c>
    </row>
    <row r="317" ht="12.75">
      <c r="J317" s="684" t="str">
        <f t="shared" si="6"/>
        <v/>
      </c>
    </row>
    <row r="318" ht="12.75">
      <c r="J318" s="684" t="str">
        <f t="shared" si="6"/>
        <v/>
      </c>
    </row>
    <row r="319" ht="12.75">
      <c r="J319" s="684" t="str">
        <f t="shared" si="6"/>
        <v/>
      </c>
    </row>
    <row r="320" ht="12.75">
      <c r="J320" s="684" t="str">
        <f t="shared" si="6"/>
        <v/>
      </c>
    </row>
    <row r="321" ht="12.75">
      <c r="J321" s="684" t="str">
        <f t="shared" si="6"/>
        <v/>
      </c>
    </row>
    <row r="322" ht="12.75">
      <c r="J322" s="684" t="str">
        <f t="shared" si="6"/>
        <v/>
      </c>
    </row>
    <row r="323" ht="12.75">
      <c r="J323" s="684" t="str">
        <f aca="true" t="shared" si="7" ref="J323:J353">IF(H323=0,"",F324*0.22)</f>
        <v/>
      </c>
    </row>
    <row r="324" ht="12.75">
      <c r="J324" s="684" t="str">
        <f t="shared" si="7"/>
        <v/>
      </c>
    </row>
    <row r="325" ht="12.75">
      <c r="J325" s="684" t="str">
        <f t="shared" si="7"/>
        <v/>
      </c>
    </row>
    <row r="326" ht="12.75">
      <c r="J326" s="684" t="str">
        <f t="shared" si="7"/>
        <v/>
      </c>
    </row>
    <row r="327" ht="12.75">
      <c r="J327" s="684" t="str">
        <f t="shared" si="7"/>
        <v/>
      </c>
    </row>
    <row r="328" ht="12.75">
      <c r="J328" s="684" t="str">
        <f t="shared" si="7"/>
        <v/>
      </c>
    </row>
    <row r="329" ht="12.75">
      <c r="J329" s="684" t="str">
        <f t="shared" si="7"/>
        <v/>
      </c>
    </row>
    <row r="330" ht="12.75">
      <c r="J330" s="684" t="str">
        <f t="shared" si="7"/>
        <v/>
      </c>
    </row>
    <row r="331" ht="12.75">
      <c r="J331" s="684" t="str">
        <f t="shared" si="7"/>
        <v/>
      </c>
    </row>
    <row r="332" ht="12.75">
      <c r="J332" s="684" t="str">
        <f t="shared" si="7"/>
        <v/>
      </c>
    </row>
    <row r="333" ht="12.75">
      <c r="J333" s="684" t="str">
        <f t="shared" si="7"/>
        <v/>
      </c>
    </row>
    <row r="334" ht="12.75">
      <c r="J334" s="684" t="str">
        <f t="shared" si="7"/>
        <v/>
      </c>
    </row>
    <row r="335" ht="12.75">
      <c r="J335" s="684" t="str">
        <f t="shared" si="7"/>
        <v/>
      </c>
    </row>
    <row r="336" ht="12.75">
      <c r="J336" s="684" t="str">
        <f t="shared" si="7"/>
        <v/>
      </c>
    </row>
    <row r="337" ht="12.75">
      <c r="J337" s="684" t="str">
        <f t="shared" si="7"/>
        <v/>
      </c>
    </row>
    <row r="338" ht="12.75">
      <c r="J338" s="684" t="str">
        <f t="shared" si="7"/>
        <v/>
      </c>
    </row>
    <row r="339" ht="12.75">
      <c r="J339" s="684" t="str">
        <f t="shared" si="7"/>
        <v/>
      </c>
    </row>
    <row r="340" ht="12.75">
      <c r="J340" s="684" t="str">
        <f t="shared" si="7"/>
        <v/>
      </c>
    </row>
    <row r="341" ht="12.75">
      <c r="J341" s="684" t="str">
        <f t="shared" si="7"/>
        <v/>
      </c>
    </row>
    <row r="342" ht="12.75">
      <c r="J342" s="684" t="str">
        <f t="shared" si="7"/>
        <v/>
      </c>
    </row>
    <row r="343" ht="12.75">
      <c r="J343" s="684" t="str">
        <f t="shared" si="7"/>
        <v/>
      </c>
    </row>
    <row r="344" ht="12.75">
      <c r="J344" s="684" t="str">
        <f t="shared" si="7"/>
        <v/>
      </c>
    </row>
    <row r="345" ht="12.75">
      <c r="J345" s="684" t="str">
        <f t="shared" si="7"/>
        <v/>
      </c>
    </row>
    <row r="346" ht="12.75">
      <c r="J346" s="684" t="str">
        <f t="shared" si="7"/>
        <v/>
      </c>
    </row>
    <row r="347" ht="12.75">
      <c r="J347" s="684" t="str">
        <f t="shared" si="7"/>
        <v/>
      </c>
    </row>
    <row r="348" ht="12.75">
      <c r="J348" s="684" t="str">
        <f t="shared" si="7"/>
        <v/>
      </c>
    </row>
    <row r="349" ht="12.75">
      <c r="J349" s="684" t="str">
        <f t="shared" si="7"/>
        <v/>
      </c>
    </row>
    <row r="350" ht="12.75">
      <c r="J350" s="684" t="str">
        <f t="shared" si="7"/>
        <v/>
      </c>
    </row>
    <row r="351" ht="12.75">
      <c r="J351" s="684" t="str">
        <f t="shared" si="7"/>
        <v/>
      </c>
    </row>
    <row r="352" ht="12.75">
      <c r="J352" s="684" t="str">
        <f t="shared" si="7"/>
        <v/>
      </c>
    </row>
    <row r="353" ht="12.75">
      <c r="J353" s="684" t="str">
        <f t="shared" si="7"/>
        <v/>
      </c>
    </row>
  </sheetData>
  <printOptions/>
  <pageMargins left="0.59" right="0.39" top="0.984251968503937" bottom="0.984251968503937" header="0.5118110236220472" footer="0.61"/>
  <pageSetup horizontalDpi="300" verticalDpi="300" orientation="portrait" paperSize="9" r:id="rId1"/>
  <headerFooter alignWithMargins="0">
    <oddFooter>&amp;C&amp;"Times New Roman,Obyčejné"&amp;9Stránka &amp;P z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T41"/>
  <sheetViews>
    <sheetView showGridLines="0" workbookViewId="0" topLeftCell="A1">
      <pane ySplit="3" topLeftCell="A18" activePane="bottomLeft" state="frozen"/>
      <selection pane="topLeft" activeCell="E28" sqref="E28"/>
      <selection pane="bottomLeft" activeCell="N32" sqref="N32"/>
    </sheetView>
  </sheetViews>
  <sheetFormatPr defaultColWidth="8.125" defaultRowHeight="12" customHeight="1"/>
  <cols>
    <col min="1" max="1" width="2.375" style="936" customWidth="1"/>
    <col min="2" max="2" width="1.875" style="936" customWidth="1"/>
    <col min="3" max="3" width="3.00390625" style="936" customWidth="1"/>
    <col min="4" max="4" width="9.125" style="936" customWidth="1"/>
    <col min="5" max="5" width="11.50390625" style="936" customWidth="1"/>
    <col min="6" max="6" width="0.37109375" style="936" customWidth="1"/>
    <col min="7" max="7" width="2.50390625" style="936" customWidth="1"/>
    <col min="8" max="8" width="2.375" style="936" customWidth="1"/>
    <col min="9" max="9" width="9.50390625" style="936" customWidth="1"/>
    <col min="10" max="10" width="12.50390625" style="936" customWidth="1"/>
    <col min="11" max="11" width="0.5" style="936" customWidth="1"/>
    <col min="12" max="12" width="2.375" style="936" customWidth="1"/>
    <col min="13" max="13" width="3.125" style="936" customWidth="1"/>
    <col min="14" max="14" width="5.125" style="936" customWidth="1"/>
    <col min="15" max="15" width="3.625" style="936" customWidth="1"/>
    <col min="16" max="16" width="10.375" style="936" customWidth="1"/>
    <col min="17" max="17" width="5.625" style="936" customWidth="1"/>
    <col min="18" max="18" width="13.875" style="936" customWidth="1"/>
    <col min="19" max="19" width="1.00390625" style="936" customWidth="1"/>
    <col min="20" max="256" width="8.125" style="1019" customWidth="1"/>
    <col min="257" max="257" width="2.375" style="1019" customWidth="1"/>
    <col min="258" max="258" width="1.875" style="1019" customWidth="1"/>
    <col min="259" max="259" width="3.00390625" style="1019" customWidth="1"/>
    <col min="260" max="260" width="9.125" style="1019" customWidth="1"/>
    <col min="261" max="261" width="11.50390625" style="1019" customWidth="1"/>
    <col min="262" max="262" width="0.37109375" style="1019" customWidth="1"/>
    <col min="263" max="263" width="2.50390625" style="1019" customWidth="1"/>
    <col min="264" max="264" width="2.375" style="1019" customWidth="1"/>
    <col min="265" max="265" width="9.50390625" style="1019" customWidth="1"/>
    <col min="266" max="266" width="12.50390625" style="1019" customWidth="1"/>
    <col min="267" max="267" width="0.5" style="1019" customWidth="1"/>
    <col min="268" max="268" width="2.375" style="1019" customWidth="1"/>
    <col min="269" max="269" width="3.125" style="1019" customWidth="1"/>
    <col min="270" max="270" width="4.125" style="1019" customWidth="1"/>
    <col min="271" max="271" width="3.625" style="1019" customWidth="1"/>
    <col min="272" max="272" width="10.375" style="1019" customWidth="1"/>
    <col min="273" max="273" width="5.625" style="1019" customWidth="1"/>
    <col min="274" max="274" width="13.875" style="1019" customWidth="1"/>
    <col min="275" max="275" width="1.00390625" style="1019" customWidth="1"/>
    <col min="276" max="512" width="8.125" style="1019" customWidth="1"/>
    <col min="513" max="513" width="2.375" style="1019" customWidth="1"/>
    <col min="514" max="514" width="1.875" style="1019" customWidth="1"/>
    <col min="515" max="515" width="3.00390625" style="1019" customWidth="1"/>
    <col min="516" max="516" width="9.125" style="1019" customWidth="1"/>
    <col min="517" max="517" width="11.50390625" style="1019" customWidth="1"/>
    <col min="518" max="518" width="0.37109375" style="1019" customWidth="1"/>
    <col min="519" max="519" width="2.50390625" style="1019" customWidth="1"/>
    <col min="520" max="520" width="2.375" style="1019" customWidth="1"/>
    <col min="521" max="521" width="9.50390625" style="1019" customWidth="1"/>
    <col min="522" max="522" width="12.50390625" style="1019" customWidth="1"/>
    <col min="523" max="523" width="0.5" style="1019" customWidth="1"/>
    <col min="524" max="524" width="2.375" style="1019" customWidth="1"/>
    <col min="525" max="525" width="3.125" style="1019" customWidth="1"/>
    <col min="526" max="526" width="4.125" style="1019" customWidth="1"/>
    <col min="527" max="527" width="3.625" style="1019" customWidth="1"/>
    <col min="528" max="528" width="10.375" style="1019" customWidth="1"/>
    <col min="529" max="529" width="5.625" style="1019" customWidth="1"/>
    <col min="530" max="530" width="13.875" style="1019" customWidth="1"/>
    <col min="531" max="531" width="1.00390625" style="1019" customWidth="1"/>
    <col min="532" max="768" width="8.125" style="1019" customWidth="1"/>
    <col min="769" max="769" width="2.375" style="1019" customWidth="1"/>
    <col min="770" max="770" width="1.875" style="1019" customWidth="1"/>
    <col min="771" max="771" width="3.00390625" style="1019" customWidth="1"/>
    <col min="772" max="772" width="9.125" style="1019" customWidth="1"/>
    <col min="773" max="773" width="11.50390625" style="1019" customWidth="1"/>
    <col min="774" max="774" width="0.37109375" style="1019" customWidth="1"/>
    <col min="775" max="775" width="2.50390625" style="1019" customWidth="1"/>
    <col min="776" max="776" width="2.375" style="1019" customWidth="1"/>
    <col min="777" max="777" width="9.50390625" style="1019" customWidth="1"/>
    <col min="778" max="778" width="12.50390625" style="1019" customWidth="1"/>
    <col min="779" max="779" width="0.5" style="1019" customWidth="1"/>
    <col min="780" max="780" width="2.375" style="1019" customWidth="1"/>
    <col min="781" max="781" width="3.125" style="1019" customWidth="1"/>
    <col min="782" max="782" width="4.125" style="1019" customWidth="1"/>
    <col min="783" max="783" width="3.625" style="1019" customWidth="1"/>
    <col min="784" max="784" width="10.375" style="1019" customWidth="1"/>
    <col min="785" max="785" width="5.625" style="1019" customWidth="1"/>
    <col min="786" max="786" width="13.875" style="1019" customWidth="1"/>
    <col min="787" max="787" width="1.00390625" style="1019" customWidth="1"/>
    <col min="788" max="1024" width="8.125" style="1019" customWidth="1"/>
    <col min="1025" max="1025" width="2.375" style="1019" customWidth="1"/>
    <col min="1026" max="1026" width="1.875" style="1019" customWidth="1"/>
    <col min="1027" max="1027" width="3.00390625" style="1019" customWidth="1"/>
    <col min="1028" max="1028" width="9.125" style="1019" customWidth="1"/>
    <col min="1029" max="1029" width="11.50390625" style="1019" customWidth="1"/>
    <col min="1030" max="1030" width="0.37109375" style="1019" customWidth="1"/>
    <col min="1031" max="1031" width="2.50390625" style="1019" customWidth="1"/>
    <col min="1032" max="1032" width="2.375" style="1019" customWidth="1"/>
    <col min="1033" max="1033" width="9.50390625" style="1019" customWidth="1"/>
    <col min="1034" max="1034" width="12.50390625" style="1019" customWidth="1"/>
    <col min="1035" max="1035" width="0.5" style="1019" customWidth="1"/>
    <col min="1036" max="1036" width="2.375" style="1019" customWidth="1"/>
    <col min="1037" max="1037" width="3.125" style="1019" customWidth="1"/>
    <col min="1038" max="1038" width="4.125" style="1019" customWidth="1"/>
    <col min="1039" max="1039" width="3.625" style="1019" customWidth="1"/>
    <col min="1040" max="1040" width="10.375" style="1019" customWidth="1"/>
    <col min="1041" max="1041" width="5.625" style="1019" customWidth="1"/>
    <col min="1042" max="1042" width="13.875" style="1019" customWidth="1"/>
    <col min="1043" max="1043" width="1.00390625" style="1019" customWidth="1"/>
    <col min="1044" max="1280" width="8.125" style="1019" customWidth="1"/>
    <col min="1281" max="1281" width="2.375" style="1019" customWidth="1"/>
    <col min="1282" max="1282" width="1.875" style="1019" customWidth="1"/>
    <col min="1283" max="1283" width="3.00390625" style="1019" customWidth="1"/>
    <col min="1284" max="1284" width="9.125" style="1019" customWidth="1"/>
    <col min="1285" max="1285" width="11.50390625" style="1019" customWidth="1"/>
    <col min="1286" max="1286" width="0.37109375" style="1019" customWidth="1"/>
    <col min="1287" max="1287" width="2.50390625" style="1019" customWidth="1"/>
    <col min="1288" max="1288" width="2.375" style="1019" customWidth="1"/>
    <col min="1289" max="1289" width="9.50390625" style="1019" customWidth="1"/>
    <col min="1290" max="1290" width="12.50390625" style="1019" customWidth="1"/>
    <col min="1291" max="1291" width="0.5" style="1019" customWidth="1"/>
    <col min="1292" max="1292" width="2.375" style="1019" customWidth="1"/>
    <col min="1293" max="1293" width="3.125" style="1019" customWidth="1"/>
    <col min="1294" max="1294" width="4.125" style="1019" customWidth="1"/>
    <col min="1295" max="1295" width="3.625" style="1019" customWidth="1"/>
    <col min="1296" max="1296" width="10.375" style="1019" customWidth="1"/>
    <col min="1297" max="1297" width="5.625" style="1019" customWidth="1"/>
    <col min="1298" max="1298" width="13.875" style="1019" customWidth="1"/>
    <col min="1299" max="1299" width="1.00390625" style="1019" customWidth="1"/>
    <col min="1300" max="1536" width="8.125" style="1019" customWidth="1"/>
    <col min="1537" max="1537" width="2.375" style="1019" customWidth="1"/>
    <col min="1538" max="1538" width="1.875" style="1019" customWidth="1"/>
    <col min="1539" max="1539" width="3.00390625" style="1019" customWidth="1"/>
    <col min="1540" max="1540" width="9.125" style="1019" customWidth="1"/>
    <col min="1541" max="1541" width="11.50390625" style="1019" customWidth="1"/>
    <col min="1542" max="1542" width="0.37109375" style="1019" customWidth="1"/>
    <col min="1543" max="1543" width="2.50390625" style="1019" customWidth="1"/>
    <col min="1544" max="1544" width="2.375" style="1019" customWidth="1"/>
    <col min="1545" max="1545" width="9.50390625" style="1019" customWidth="1"/>
    <col min="1546" max="1546" width="12.50390625" style="1019" customWidth="1"/>
    <col min="1547" max="1547" width="0.5" style="1019" customWidth="1"/>
    <col min="1548" max="1548" width="2.375" style="1019" customWidth="1"/>
    <col min="1549" max="1549" width="3.125" style="1019" customWidth="1"/>
    <col min="1550" max="1550" width="4.125" style="1019" customWidth="1"/>
    <col min="1551" max="1551" width="3.625" style="1019" customWidth="1"/>
    <col min="1552" max="1552" width="10.375" style="1019" customWidth="1"/>
    <col min="1553" max="1553" width="5.625" style="1019" customWidth="1"/>
    <col min="1554" max="1554" width="13.875" style="1019" customWidth="1"/>
    <col min="1555" max="1555" width="1.00390625" style="1019" customWidth="1"/>
    <col min="1556" max="1792" width="8.125" style="1019" customWidth="1"/>
    <col min="1793" max="1793" width="2.375" style="1019" customWidth="1"/>
    <col min="1794" max="1794" width="1.875" style="1019" customWidth="1"/>
    <col min="1795" max="1795" width="3.00390625" style="1019" customWidth="1"/>
    <col min="1796" max="1796" width="9.125" style="1019" customWidth="1"/>
    <col min="1797" max="1797" width="11.50390625" style="1019" customWidth="1"/>
    <col min="1798" max="1798" width="0.37109375" style="1019" customWidth="1"/>
    <col min="1799" max="1799" width="2.50390625" style="1019" customWidth="1"/>
    <col min="1800" max="1800" width="2.375" style="1019" customWidth="1"/>
    <col min="1801" max="1801" width="9.50390625" style="1019" customWidth="1"/>
    <col min="1802" max="1802" width="12.50390625" style="1019" customWidth="1"/>
    <col min="1803" max="1803" width="0.5" style="1019" customWidth="1"/>
    <col min="1804" max="1804" width="2.375" style="1019" customWidth="1"/>
    <col min="1805" max="1805" width="3.125" style="1019" customWidth="1"/>
    <col min="1806" max="1806" width="4.125" style="1019" customWidth="1"/>
    <col min="1807" max="1807" width="3.625" style="1019" customWidth="1"/>
    <col min="1808" max="1808" width="10.375" style="1019" customWidth="1"/>
    <col min="1809" max="1809" width="5.625" style="1019" customWidth="1"/>
    <col min="1810" max="1810" width="13.875" style="1019" customWidth="1"/>
    <col min="1811" max="1811" width="1.00390625" style="1019" customWidth="1"/>
    <col min="1812" max="2048" width="8.125" style="1019" customWidth="1"/>
    <col min="2049" max="2049" width="2.375" style="1019" customWidth="1"/>
    <col min="2050" max="2050" width="1.875" style="1019" customWidth="1"/>
    <col min="2051" max="2051" width="3.00390625" style="1019" customWidth="1"/>
    <col min="2052" max="2052" width="9.125" style="1019" customWidth="1"/>
    <col min="2053" max="2053" width="11.50390625" style="1019" customWidth="1"/>
    <col min="2054" max="2054" width="0.37109375" style="1019" customWidth="1"/>
    <col min="2055" max="2055" width="2.50390625" style="1019" customWidth="1"/>
    <col min="2056" max="2056" width="2.375" style="1019" customWidth="1"/>
    <col min="2057" max="2057" width="9.50390625" style="1019" customWidth="1"/>
    <col min="2058" max="2058" width="12.50390625" style="1019" customWidth="1"/>
    <col min="2059" max="2059" width="0.5" style="1019" customWidth="1"/>
    <col min="2060" max="2060" width="2.375" style="1019" customWidth="1"/>
    <col min="2061" max="2061" width="3.125" style="1019" customWidth="1"/>
    <col min="2062" max="2062" width="4.125" style="1019" customWidth="1"/>
    <col min="2063" max="2063" width="3.625" style="1019" customWidth="1"/>
    <col min="2064" max="2064" width="10.375" style="1019" customWidth="1"/>
    <col min="2065" max="2065" width="5.625" style="1019" customWidth="1"/>
    <col min="2066" max="2066" width="13.875" style="1019" customWidth="1"/>
    <col min="2067" max="2067" width="1.00390625" style="1019" customWidth="1"/>
    <col min="2068" max="2304" width="8.125" style="1019" customWidth="1"/>
    <col min="2305" max="2305" width="2.375" style="1019" customWidth="1"/>
    <col min="2306" max="2306" width="1.875" style="1019" customWidth="1"/>
    <col min="2307" max="2307" width="3.00390625" style="1019" customWidth="1"/>
    <col min="2308" max="2308" width="9.125" style="1019" customWidth="1"/>
    <col min="2309" max="2309" width="11.50390625" style="1019" customWidth="1"/>
    <col min="2310" max="2310" width="0.37109375" style="1019" customWidth="1"/>
    <col min="2311" max="2311" width="2.50390625" style="1019" customWidth="1"/>
    <col min="2312" max="2312" width="2.375" style="1019" customWidth="1"/>
    <col min="2313" max="2313" width="9.50390625" style="1019" customWidth="1"/>
    <col min="2314" max="2314" width="12.50390625" style="1019" customWidth="1"/>
    <col min="2315" max="2315" width="0.5" style="1019" customWidth="1"/>
    <col min="2316" max="2316" width="2.375" style="1019" customWidth="1"/>
    <col min="2317" max="2317" width="3.125" style="1019" customWidth="1"/>
    <col min="2318" max="2318" width="4.125" style="1019" customWidth="1"/>
    <col min="2319" max="2319" width="3.625" style="1019" customWidth="1"/>
    <col min="2320" max="2320" width="10.375" style="1019" customWidth="1"/>
    <col min="2321" max="2321" width="5.625" style="1019" customWidth="1"/>
    <col min="2322" max="2322" width="13.875" style="1019" customWidth="1"/>
    <col min="2323" max="2323" width="1.00390625" style="1019" customWidth="1"/>
    <col min="2324" max="2560" width="8.125" style="1019" customWidth="1"/>
    <col min="2561" max="2561" width="2.375" style="1019" customWidth="1"/>
    <col min="2562" max="2562" width="1.875" style="1019" customWidth="1"/>
    <col min="2563" max="2563" width="3.00390625" style="1019" customWidth="1"/>
    <col min="2564" max="2564" width="9.125" style="1019" customWidth="1"/>
    <col min="2565" max="2565" width="11.50390625" style="1019" customWidth="1"/>
    <col min="2566" max="2566" width="0.37109375" style="1019" customWidth="1"/>
    <col min="2567" max="2567" width="2.50390625" style="1019" customWidth="1"/>
    <col min="2568" max="2568" width="2.375" style="1019" customWidth="1"/>
    <col min="2569" max="2569" width="9.50390625" style="1019" customWidth="1"/>
    <col min="2570" max="2570" width="12.50390625" style="1019" customWidth="1"/>
    <col min="2571" max="2571" width="0.5" style="1019" customWidth="1"/>
    <col min="2572" max="2572" width="2.375" style="1019" customWidth="1"/>
    <col min="2573" max="2573" width="3.125" style="1019" customWidth="1"/>
    <col min="2574" max="2574" width="4.125" style="1019" customWidth="1"/>
    <col min="2575" max="2575" width="3.625" style="1019" customWidth="1"/>
    <col min="2576" max="2576" width="10.375" style="1019" customWidth="1"/>
    <col min="2577" max="2577" width="5.625" style="1019" customWidth="1"/>
    <col min="2578" max="2578" width="13.875" style="1019" customWidth="1"/>
    <col min="2579" max="2579" width="1.00390625" style="1019" customWidth="1"/>
    <col min="2580" max="2816" width="8.125" style="1019" customWidth="1"/>
    <col min="2817" max="2817" width="2.375" style="1019" customWidth="1"/>
    <col min="2818" max="2818" width="1.875" style="1019" customWidth="1"/>
    <col min="2819" max="2819" width="3.00390625" style="1019" customWidth="1"/>
    <col min="2820" max="2820" width="9.125" style="1019" customWidth="1"/>
    <col min="2821" max="2821" width="11.50390625" style="1019" customWidth="1"/>
    <col min="2822" max="2822" width="0.37109375" style="1019" customWidth="1"/>
    <col min="2823" max="2823" width="2.50390625" style="1019" customWidth="1"/>
    <col min="2824" max="2824" width="2.375" style="1019" customWidth="1"/>
    <col min="2825" max="2825" width="9.50390625" style="1019" customWidth="1"/>
    <col min="2826" max="2826" width="12.50390625" style="1019" customWidth="1"/>
    <col min="2827" max="2827" width="0.5" style="1019" customWidth="1"/>
    <col min="2828" max="2828" width="2.375" style="1019" customWidth="1"/>
    <col min="2829" max="2829" width="3.125" style="1019" customWidth="1"/>
    <col min="2830" max="2830" width="4.125" style="1019" customWidth="1"/>
    <col min="2831" max="2831" width="3.625" style="1019" customWidth="1"/>
    <col min="2832" max="2832" width="10.375" style="1019" customWidth="1"/>
    <col min="2833" max="2833" width="5.625" style="1019" customWidth="1"/>
    <col min="2834" max="2834" width="13.875" style="1019" customWidth="1"/>
    <col min="2835" max="2835" width="1.00390625" style="1019" customWidth="1"/>
    <col min="2836" max="3072" width="8.125" style="1019" customWidth="1"/>
    <col min="3073" max="3073" width="2.375" style="1019" customWidth="1"/>
    <col min="3074" max="3074" width="1.875" style="1019" customWidth="1"/>
    <col min="3075" max="3075" width="3.00390625" style="1019" customWidth="1"/>
    <col min="3076" max="3076" width="9.125" style="1019" customWidth="1"/>
    <col min="3077" max="3077" width="11.50390625" style="1019" customWidth="1"/>
    <col min="3078" max="3078" width="0.37109375" style="1019" customWidth="1"/>
    <col min="3079" max="3079" width="2.50390625" style="1019" customWidth="1"/>
    <col min="3080" max="3080" width="2.375" style="1019" customWidth="1"/>
    <col min="3081" max="3081" width="9.50390625" style="1019" customWidth="1"/>
    <col min="3082" max="3082" width="12.50390625" style="1019" customWidth="1"/>
    <col min="3083" max="3083" width="0.5" style="1019" customWidth="1"/>
    <col min="3084" max="3084" width="2.375" style="1019" customWidth="1"/>
    <col min="3085" max="3085" width="3.125" style="1019" customWidth="1"/>
    <col min="3086" max="3086" width="4.125" style="1019" customWidth="1"/>
    <col min="3087" max="3087" width="3.625" style="1019" customWidth="1"/>
    <col min="3088" max="3088" width="10.375" style="1019" customWidth="1"/>
    <col min="3089" max="3089" width="5.625" style="1019" customWidth="1"/>
    <col min="3090" max="3090" width="13.875" style="1019" customWidth="1"/>
    <col min="3091" max="3091" width="1.00390625" style="1019" customWidth="1"/>
    <col min="3092" max="3328" width="8.125" style="1019" customWidth="1"/>
    <col min="3329" max="3329" width="2.375" style="1019" customWidth="1"/>
    <col min="3330" max="3330" width="1.875" style="1019" customWidth="1"/>
    <col min="3331" max="3331" width="3.00390625" style="1019" customWidth="1"/>
    <col min="3332" max="3332" width="9.125" style="1019" customWidth="1"/>
    <col min="3333" max="3333" width="11.50390625" style="1019" customWidth="1"/>
    <col min="3334" max="3334" width="0.37109375" style="1019" customWidth="1"/>
    <col min="3335" max="3335" width="2.50390625" style="1019" customWidth="1"/>
    <col min="3336" max="3336" width="2.375" style="1019" customWidth="1"/>
    <col min="3337" max="3337" width="9.50390625" style="1019" customWidth="1"/>
    <col min="3338" max="3338" width="12.50390625" style="1019" customWidth="1"/>
    <col min="3339" max="3339" width="0.5" style="1019" customWidth="1"/>
    <col min="3340" max="3340" width="2.375" style="1019" customWidth="1"/>
    <col min="3341" max="3341" width="3.125" style="1019" customWidth="1"/>
    <col min="3342" max="3342" width="4.125" style="1019" customWidth="1"/>
    <col min="3343" max="3343" width="3.625" style="1019" customWidth="1"/>
    <col min="3344" max="3344" width="10.375" style="1019" customWidth="1"/>
    <col min="3345" max="3345" width="5.625" style="1019" customWidth="1"/>
    <col min="3346" max="3346" width="13.875" style="1019" customWidth="1"/>
    <col min="3347" max="3347" width="1.00390625" style="1019" customWidth="1"/>
    <col min="3348" max="3584" width="8.125" style="1019" customWidth="1"/>
    <col min="3585" max="3585" width="2.375" style="1019" customWidth="1"/>
    <col min="3586" max="3586" width="1.875" style="1019" customWidth="1"/>
    <col min="3587" max="3587" width="3.00390625" style="1019" customWidth="1"/>
    <col min="3588" max="3588" width="9.125" style="1019" customWidth="1"/>
    <col min="3589" max="3589" width="11.50390625" style="1019" customWidth="1"/>
    <col min="3590" max="3590" width="0.37109375" style="1019" customWidth="1"/>
    <col min="3591" max="3591" width="2.50390625" style="1019" customWidth="1"/>
    <col min="3592" max="3592" width="2.375" style="1019" customWidth="1"/>
    <col min="3593" max="3593" width="9.50390625" style="1019" customWidth="1"/>
    <col min="3594" max="3594" width="12.50390625" style="1019" customWidth="1"/>
    <col min="3595" max="3595" width="0.5" style="1019" customWidth="1"/>
    <col min="3596" max="3596" width="2.375" style="1019" customWidth="1"/>
    <col min="3597" max="3597" width="3.125" style="1019" customWidth="1"/>
    <col min="3598" max="3598" width="4.125" style="1019" customWidth="1"/>
    <col min="3599" max="3599" width="3.625" style="1019" customWidth="1"/>
    <col min="3600" max="3600" width="10.375" style="1019" customWidth="1"/>
    <col min="3601" max="3601" width="5.625" style="1019" customWidth="1"/>
    <col min="3602" max="3602" width="13.875" style="1019" customWidth="1"/>
    <col min="3603" max="3603" width="1.00390625" style="1019" customWidth="1"/>
    <col min="3604" max="3840" width="8.125" style="1019" customWidth="1"/>
    <col min="3841" max="3841" width="2.375" style="1019" customWidth="1"/>
    <col min="3842" max="3842" width="1.875" style="1019" customWidth="1"/>
    <col min="3843" max="3843" width="3.00390625" style="1019" customWidth="1"/>
    <col min="3844" max="3844" width="9.125" style="1019" customWidth="1"/>
    <col min="3845" max="3845" width="11.50390625" style="1019" customWidth="1"/>
    <col min="3846" max="3846" width="0.37109375" style="1019" customWidth="1"/>
    <col min="3847" max="3847" width="2.50390625" style="1019" customWidth="1"/>
    <col min="3848" max="3848" width="2.375" style="1019" customWidth="1"/>
    <col min="3849" max="3849" width="9.50390625" style="1019" customWidth="1"/>
    <col min="3850" max="3850" width="12.50390625" style="1019" customWidth="1"/>
    <col min="3851" max="3851" width="0.5" style="1019" customWidth="1"/>
    <col min="3852" max="3852" width="2.375" style="1019" customWidth="1"/>
    <col min="3853" max="3853" width="3.125" style="1019" customWidth="1"/>
    <col min="3854" max="3854" width="4.125" style="1019" customWidth="1"/>
    <col min="3855" max="3855" width="3.625" style="1019" customWidth="1"/>
    <col min="3856" max="3856" width="10.375" style="1019" customWidth="1"/>
    <col min="3857" max="3857" width="5.625" style="1019" customWidth="1"/>
    <col min="3858" max="3858" width="13.875" style="1019" customWidth="1"/>
    <col min="3859" max="3859" width="1.00390625" style="1019" customWidth="1"/>
    <col min="3860" max="4096" width="8.125" style="1019" customWidth="1"/>
    <col min="4097" max="4097" width="2.375" style="1019" customWidth="1"/>
    <col min="4098" max="4098" width="1.875" style="1019" customWidth="1"/>
    <col min="4099" max="4099" width="3.00390625" style="1019" customWidth="1"/>
    <col min="4100" max="4100" width="9.125" style="1019" customWidth="1"/>
    <col min="4101" max="4101" width="11.50390625" style="1019" customWidth="1"/>
    <col min="4102" max="4102" width="0.37109375" style="1019" customWidth="1"/>
    <col min="4103" max="4103" width="2.50390625" style="1019" customWidth="1"/>
    <col min="4104" max="4104" width="2.375" style="1019" customWidth="1"/>
    <col min="4105" max="4105" width="9.50390625" style="1019" customWidth="1"/>
    <col min="4106" max="4106" width="12.50390625" style="1019" customWidth="1"/>
    <col min="4107" max="4107" width="0.5" style="1019" customWidth="1"/>
    <col min="4108" max="4108" width="2.375" style="1019" customWidth="1"/>
    <col min="4109" max="4109" width="3.125" style="1019" customWidth="1"/>
    <col min="4110" max="4110" width="4.125" style="1019" customWidth="1"/>
    <col min="4111" max="4111" width="3.625" style="1019" customWidth="1"/>
    <col min="4112" max="4112" width="10.375" style="1019" customWidth="1"/>
    <col min="4113" max="4113" width="5.625" style="1019" customWidth="1"/>
    <col min="4114" max="4114" width="13.875" style="1019" customWidth="1"/>
    <col min="4115" max="4115" width="1.00390625" style="1019" customWidth="1"/>
    <col min="4116" max="4352" width="8.125" style="1019" customWidth="1"/>
    <col min="4353" max="4353" width="2.375" style="1019" customWidth="1"/>
    <col min="4354" max="4354" width="1.875" style="1019" customWidth="1"/>
    <col min="4355" max="4355" width="3.00390625" style="1019" customWidth="1"/>
    <col min="4356" max="4356" width="9.125" style="1019" customWidth="1"/>
    <col min="4357" max="4357" width="11.50390625" style="1019" customWidth="1"/>
    <col min="4358" max="4358" width="0.37109375" style="1019" customWidth="1"/>
    <col min="4359" max="4359" width="2.50390625" style="1019" customWidth="1"/>
    <col min="4360" max="4360" width="2.375" style="1019" customWidth="1"/>
    <col min="4361" max="4361" width="9.50390625" style="1019" customWidth="1"/>
    <col min="4362" max="4362" width="12.50390625" style="1019" customWidth="1"/>
    <col min="4363" max="4363" width="0.5" style="1019" customWidth="1"/>
    <col min="4364" max="4364" width="2.375" style="1019" customWidth="1"/>
    <col min="4365" max="4365" width="3.125" style="1019" customWidth="1"/>
    <col min="4366" max="4366" width="4.125" style="1019" customWidth="1"/>
    <col min="4367" max="4367" width="3.625" style="1019" customWidth="1"/>
    <col min="4368" max="4368" width="10.375" style="1019" customWidth="1"/>
    <col min="4369" max="4369" width="5.625" style="1019" customWidth="1"/>
    <col min="4370" max="4370" width="13.875" style="1019" customWidth="1"/>
    <col min="4371" max="4371" width="1.00390625" style="1019" customWidth="1"/>
    <col min="4372" max="4608" width="8.125" style="1019" customWidth="1"/>
    <col min="4609" max="4609" width="2.375" style="1019" customWidth="1"/>
    <col min="4610" max="4610" width="1.875" style="1019" customWidth="1"/>
    <col min="4611" max="4611" width="3.00390625" style="1019" customWidth="1"/>
    <col min="4612" max="4612" width="9.125" style="1019" customWidth="1"/>
    <col min="4613" max="4613" width="11.50390625" style="1019" customWidth="1"/>
    <col min="4614" max="4614" width="0.37109375" style="1019" customWidth="1"/>
    <col min="4615" max="4615" width="2.50390625" style="1019" customWidth="1"/>
    <col min="4616" max="4616" width="2.375" style="1019" customWidth="1"/>
    <col min="4617" max="4617" width="9.50390625" style="1019" customWidth="1"/>
    <col min="4618" max="4618" width="12.50390625" style="1019" customWidth="1"/>
    <col min="4619" max="4619" width="0.5" style="1019" customWidth="1"/>
    <col min="4620" max="4620" width="2.375" style="1019" customWidth="1"/>
    <col min="4621" max="4621" width="3.125" style="1019" customWidth="1"/>
    <col min="4622" max="4622" width="4.125" style="1019" customWidth="1"/>
    <col min="4623" max="4623" width="3.625" style="1019" customWidth="1"/>
    <col min="4624" max="4624" width="10.375" style="1019" customWidth="1"/>
    <col min="4625" max="4625" width="5.625" style="1019" customWidth="1"/>
    <col min="4626" max="4626" width="13.875" style="1019" customWidth="1"/>
    <col min="4627" max="4627" width="1.00390625" style="1019" customWidth="1"/>
    <col min="4628" max="4864" width="8.125" style="1019" customWidth="1"/>
    <col min="4865" max="4865" width="2.375" style="1019" customWidth="1"/>
    <col min="4866" max="4866" width="1.875" style="1019" customWidth="1"/>
    <col min="4867" max="4867" width="3.00390625" style="1019" customWidth="1"/>
    <col min="4868" max="4868" width="9.125" style="1019" customWidth="1"/>
    <col min="4869" max="4869" width="11.50390625" style="1019" customWidth="1"/>
    <col min="4870" max="4870" width="0.37109375" style="1019" customWidth="1"/>
    <col min="4871" max="4871" width="2.50390625" style="1019" customWidth="1"/>
    <col min="4872" max="4872" width="2.375" style="1019" customWidth="1"/>
    <col min="4873" max="4873" width="9.50390625" style="1019" customWidth="1"/>
    <col min="4874" max="4874" width="12.50390625" style="1019" customWidth="1"/>
    <col min="4875" max="4875" width="0.5" style="1019" customWidth="1"/>
    <col min="4876" max="4876" width="2.375" style="1019" customWidth="1"/>
    <col min="4877" max="4877" width="3.125" style="1019" customWidth="1"/>
    <col min="4878" max="4878" width="4.125" style="1019" customWidth="1"/>
    <col min="4879" max="4879" width="3.625" style="1019" customWidth="1"/>
    <col min="4880" max="4880" width="10.375" style="1019" customWidth="1"/>
    <col min="4881" max="4881" width="5.625" style="1019" customWidth="1"/>
    <col min="4882" max="4882" width="13.875" style="1019" customWidth="1"/>
    <col min="4883" max="4883" width="1.00390625" style="1019" customWidth="1"/>
    <col min="4884" max="5120" width="8.125" style="1019" customWidth="1"/>
    <col min="5121" max="5121" width="2.375" style="1019" customWidth="1"/>
    <col min="5122" max="5122" width="1.875" style="1019" customWidth="1"/>
    <col min="5123" max="5123" width="3.00390625" style="1019" customWidth="1"/>
    <col min="5124" max="5124" width="9.125" style="1019" customWidth="1"/>
    <col min="5125" max="5125" width="11.50390625" style="1019" customWidth="1"/>
    <col min="5126" max="5126" width="0.37109375" style="1019" customWidth="1"/>
    <col min="5127" max="5127" width="2.50390625" style="1019" customWidth="1"/>
    <col min="5128" max="5128" width="2.375" style="1019" customWidth="1"/>
    <col min="5129" max="5129" width="9.50390625" style="1019" customWidth="1"/>
    <col min="5130" max="5130" width="12.50390625" style="1019" customWidth="1"/>
    <col min="5131" max="5131" width="0.5" style="1019" customWidth="1"/>
    <col min="5132" max="5132" width="2.375" style="1019" customWidth="1"/>
    <col min="5133" max="5133" width="3.125" style="1019" customWidth="1"/>
    <col min="5134" max="5134" width="4.125" style="1019" customWidth="1"/>
    <col min="5135" max="5135" width="3.625" style="1019" customWidth="1"/>
    <col min="5136" max="5136" width="10.375" style="1019" customWidth="1"/>
    <col min="5137" max="5137" width="5.625" style="1019" customWidth="1"/>
    <col min="5138" max="5138" width="13.875" style="1019" customWidth="1"/>
    <col min="5139" max="5139" width="1.00390625" style="1019" customWidth="1"/>
    <col min="5140" max="5376" width="8.125" style="1019" customWidth="1"/>
    <col min="5377" max="5377" width="2.375" style="1019" customWidth="1"/>
    <col min="5378" max="5378" width="1.875" style="1019" customWidth="1"/>
    <col min="5379" max="5379" width="3.00390625" style="1019" customWidth="1"/>
    <col min="5380" max="5380" width="9.125" style="1019" customWidth="1"/>
    <col min="5381" max="5381" width="11.50390625" style="1019" customWidth="1"/>
    <col min="5382" max="5382" width="0.37109375" style="1019" customWidth="1"/>
    <col min="5383" max="5383" width="2.50390625" style="1019" customWidth="1"/>
    <col min="5384" max="5384" width="2.375" style="1019" customWidth="1"/>
    <col min="5385" max="5385" width="9.50390625" style="1019" customWidth="1"/>
    <col min="5386" max="5386" width="12.50390625" style="1019" customWidth="1"/>
    <col min="5387" max="5387" width="0.5" style="1019" customWidth="1"/>
    <col min="5388" max="5388" width="2.375" style="1019" customWidth="1"/>
    <col min="5389" max="5389" width="3.125" style="1019" customWidth="1"/>
    <col min="5390" max="5390" width="4.125" style="1019" customWidth="1"/>
    <col min="5391" max="5391" width="3.625" style="1019" customWidth="1"/>
    <col min="5392" max="5392" width="10.375" style="1019" customWidth="1"/>
    <col min="5393" max="5393" width="5.625" style="1019" customWidth="1"/>
    <col min="5394" max="5394" width="13.875" style="1019" customWidth="1"/>
    <col min="5395" max="5395" width="1.00390625" style="1019" customWidth="1"/>
    <col min="5396" max="5632" width="8.125" style="1019" customWidth="1"/>
    <col min="5633" max="5633" width="2.375" style="1019" customWidth="1"/>
    <col min="5634" max="5634" width="1.875" style="1019" customWidth="1"/>
    <col min="5635" max="5635" width="3.00390625" style="1019" customWidth="1"/>
    <col min="5636" max="5636" width="9.125" style="1019" customWidth="1"/>
    <col min="5637" max="5637" width="11.50390625" style="1019" customWidth="1"/>
    <col min="5638" max="5638" width="0.37109375" style="1019" customWidth="1"/>
    <col min="5639" max="5639" width="2.50390625" style="1019" customWidth="1"/>
    <col min="5640" max="5640" width="2.375" style="1019" customWidth="1"/>
    <col min="5641" max="5641" width="9.50390625" style="1019" customWidth="1"/>
    <col min="5642" max="5642" width="12.50390625" style="1019" customWidth="1"/>
    <col min="5643" max="5643" width="0.5" style="1019" customWidth="1"/>
    <col min="5644" max="5644" width="2.375" style="1019" customWidth="1"/>
    <col min="5645" max="5645" width="3.125" style="1019" customWidth="1"/>
    <col min="5646" max="5646" width="4.125" style="1019" customWidth="1"/>
    <col min="5647" max="5647" width="3.625" style="1019" customWidth="1"/>
    <col min="5648" max="5648" width="10.375" style="1019" customWidth="1"/>
    <col min="5649" max="5649" width="5.625" style="1019" customWidth="1"/>
    <col min="5650" max="5650" width="13.875" style="1019" customWidth="1"/>
    <col min="5651" max="5651" width="1.00390625" style="1019" customWidth="1"/>
    <col min="5652" max="5888" width="8.125" style="1019" customWidth="1"/>
    <col min="5889" max="5889" width="2.375" style="1019" customWidth="1"/>
    <col min="5890" max="5890" width="1.875" style="1019" customWidth="1"/>
    <col min="5891" max="5891" width="3.00390625" style="1019" customWidth="1"/>
    <col min="5892" max="5892" width="9.125" style="1019" customWidth="1"/>
    <col min="5893" max="5893" width="11.50390625" style="1019" customWidth="1"/>
    <col min="5894" max="5894" width="0.37109375" style="1019" customWidth="1"/>
    <col min="5895" max="5895" width="2.50390625" style="1019" customWidth="1"/>
    <col min="5896" max="5896" width="2.375" style="1019" customWidth="1"/>
    <col min="5897" max="5897" width="9.50390625" style="1019" customWidth="1"/>
    <col min="5898" max="5898" width="12.50390625" style="1019" customWidth="1"/>
    <col min="5899" max="5899" width="0.5" style="1019" customWidth="1"/>
    <col min="5900" max="5900" width="2.375" style="1019" customWidth="1"/>
    <col min="5901" max="5901" width="3.125" style="1019" customWidth="1"/>
    <col min="5902" max="5902" width="4.125" style="1019" customWidth="1"/>
    <col min="5903" max="5903" width="3.625" style="1019" customWidth="1"/>
    <col min="5904" max="5904" width="10.375" style="1019" customWidth="1"/>
    <col min="5905" max="5905" width="5.625" style="1019" customWidth="1"/>
    <col min="5906" max="5906" width="13.875" style="1019" customWidth="1"/>
    <col min="5907" max="5907" width="1.00390625" style="1019" customWidth="1"/>
    <col min="5908" max="6144" width="8.125" style="1019" customWidth="1"/>
    <col min="6145" max="6145" width="2.375" style="1019" customWidth="1"/>
    <col min="6146" max="6146" width="1.875" style="1019" customWidth="1"/>
    <col min="6147" max="6147" width="3.00390625" style="1019" customWidth="1"/>
    <col min="6148" max="6148" width="9.125" style="1019" customWidth="1"/>
    <col min="6149" max="6149" width="11.50390625" style="1019" customWidth="1"/>
    <col min="6150" max="6150" width="0.37109375" style="1019" customWidth="1"/>
    <col min="6151" max="6151" width="2.50390625" style="1019" customWidth="1"/>
    <col min="6152" max="6152" width="2.375" style="1019" customWidth="1"/>
    <col min="6153" max="6153" width="9.50390625" style="1019" customWidth="1"/>
    <col min="6154" max="6154" width="12.50390625" style="1019" customWidth="1"/>
    <col min="6155" max="6155" width="0.5" style="1019" customWidth="1"/>
    <col min="6156" max="6156" width="2.375" style="1019" customWidth="1"/>
    <col min="6157" max="6157" width="3.125" style="1019" customWidth="1"/>
    <col min="6158" max="6158" width="4.125" style="1019" customWidth="1"/>
    <col min="6159" max="6159" width="3.625" style="1019" customWidth="1"/>
    <col min="6160" max="6160" width="10.375" style="1019" customWidth="1"/>
    <col min="6161" max="6161" width="5.625" style="1019" customWidth="1"/>
    <col min="6162" max="6162" width="13.875" style="1019" customWidth="1"/>
    <col min="6163" max="6163" width="1.00390625" style="1019" customWidth="1"/>
    <col min="6164" max="6400" width="8.125" style="1019" customWidth="1"/>
    <col min="6401" max="6401" width="2.375" style="1019" customWidth="1"/>
    <col min="6402" max="6402" width="1.875" style="1019" customWidth="1"/>
    <col min="6403" max="6403" width="3.00390625" style="1019" customWidth="1"/>
    <col min="6404" max="6404" width="9.125" style="1019" customWidth="1"/>
    <col min="6405" max="6405" width="11.50390625" style="1019" customWidth="1"/>
    <col min="6406" max="6406" width="0.37109375" style="1019" customWidth="1"/>
    <col min="6407" max="6407" width="2.50390625" style="1019" customWidth="1"/>
    <col min="6408" max="6408" width="2.375" style="1019" customWidth="1"/>
    <col min="6409" max="6409" width="9.50390625" style="1019" customWidth="1"/>
    <col min="6410" max="6410" width="12.50390625" style="1019" customWidth="1"/>
    <col min="6411" max="6411" width="0.5" style="1019" customWidth="1"/>
    <col min="6412" max="6412" width="2.375" style="1019" customWidth="1"/>
    <col min="6413" max="6413" width="3.125" style="1019" customWidth="1"/>
    <col min="6414" max="6414" width="4.125" style="1019" customWidth="1"/>
    <col min="6415" max="6415" width="3.625" style="1019" customWidth="1"/>
    <col min="6416" max="6416" width="10.375" style="1019" customWidth="1"/>
    <col min="6417" max="6417" width="5.625" style="1019" customWidth="1"/>
    <col min="6418" max="6418" width="13.875" style="1019" customWidth="1"/>
    <col min="6419" max="6419" width="1.00390625" style="1019" customWidth="1"/>
    <col min="6420" max="6656" width="8.125" style="1019" customWidth="1"/>
    <col min="6657" max="6657" width="2.375" style="1019" customWidth="1"/>
    <col min="6658" max="6658" width="1.875" style="1019" customWidth="1"/>
    <col min="6659" max="6659" width="3.00390625" style="1019" customWidth="1"/>
    <col min="6660" max="6660" width="9.125" style="1019" customWidth="1"/>
    <col min="6661" max="6661" width="11.50390625" style="1019" customWidth="1"/>
    <col min="6662" max="6662" width="0.37109375" style="1019" customWidth="1"/>
    <col min="6663" max="6663" width="2.50390625" style="1019" customWidth="1"/>
    <col min="6664" max="6664" width="2.375" style="1019" customWidth="1"/>
    <col min="6665" max="6665" width="9.50390625" style="1019" customWidth="1"/>
    <col min="6666" max="6666" width="12.50390625" style="1019" customWidth="1"/>
    <col min="6667" max="6667" width="0.5" style="1019" customWidth="1"/>
    <col min="6668" max="6668" width="2.375" style="1019" customWidth="1"/>
    <col min="6669" max="6669" width="3.125" style="1019" customWidth="1"/>
    <col min="6670" max="6670" width="4.125" style="1019" customWidth="1"/>
    <col min="6671" max="6671" width="3.625" style="1019" customWidth="1"/>
    <col min="6672" max="6672" width="10.375" style="1019" customWidth="1"/>
    <col min="6673" max="6673" width="5.625" style="1019" customWidth="1"/>
    <col min="6674" max="6674" width="13.875" style="1019" customWidth="1"/>
    <col min="6675" max="6675" width="1.00390625" style="1019" customWidth="1"/>
    <col min="6676" max="6912" width="8.125" style="1019" customWidth="1"/>
    <col min="6913" max="6913" width="2.375" style="1019" customWidth="1"/>
    <col min="6914" max="6914" width="1.875" style="1019" customWidth="1"/>
    <col min="6915" max="6915" width="3.00390625" style="1019" customWidth="1"/>
    <col min="6916" max="6916" width="9.125" style="1019" customWidth="1"/>
    <col min="6917" max="6917" width="11.50390625" style="1019" customWidth="1"/>
    <col min="6918" max="6918" width="0.37109375" style="1019" customWidth="1"/>
    <col min="6919" max="6919" width="2.50390625" style="1019" customWidth="1"/>
    <col min="6920" max="6920" width="2.375" style="1019" customWidth="1"/>
    <col min="6921" max="6921" width="9.50390625" style="1019" customWidth="1"/>
    <col min="6922" max="6922" width="12.50390625" style="1019" customWidth="1"/>
    <col min="6923" max="6923" width="0.5" style="1019" customWidth="1"/>
    <col min="6924" max="6924" width="2.375" style="1019" customWidth="1"/>
    <col min="6925" max="6925" width="3.125" style="1019" customWidth="1"/>
    <col min="6926" max="6926" width="4.125" style="1019" customWidth="1"/>
    <col min="6927" max="6927" width="3.625" style="1019" customWidth="1"/>
    <col min="6928" max="6928" width="10.375" style="1019" customWidth="1"/>
    <col min="6929" max="6929" width="5.625" style="1019" customWidth="1"/>
    <col min="6930" max="6930" width="13.875" style="1019" customWidth="1"/>
    <col min="6931" max="6931" width="1.00390625" style="1019" customWidth="1"/>
    <col min="6932" max="7168" width="8.125" style="1019" customWidth="1"/>
    <col min="7169" max="7169" width="2.375" style="1019" customWidth="1"/>
    <col min="7170" max="7170" width="1.875" style="1019" customWidth="1"/>
    <col min="7171" max="7171" width="3.00390625" style="1019" customWidth="1"/>
    <col min="7172" max="7172" width="9.125" style="1019" customWidth="1"/>
    <col min="7173" max="7173" width="11.50390625" style="1019" customWidth="1"/>
    <col min="7174" max="7174" width="0.37109375" style="1019" customWidth="1"/>
    <col min="7175" max="7175" width="2.50390625" style="1019" customWidth="1"/>
    <col min="7176" max="7176" width="2.375" style="1019" customWidth="1"/>
    <col min="7177" max="7177" width="9.50390625" style="1019" customWidth="1"/>
    <col min="7178" max="7178" width="12.50390625" style="1019" customWidth="1"/>
    <col min="7179" max="7179" width="0.5" style="1019" customWidth="1"/>
    <col min="7180" max="7180" width="2.375" style="1019" customWidth="1"/>
    <col min="7181" max="7181" width="3.125" style="1019" customWidth="1"/>
    <col min="7182" max="7182" width="4.125" style="1019" customWidth="1"/>
    <col min="7183" max="7183" width="3.625" style="1019" customWidth="1"/>
    <col min="7184" max="7184" width="10.375" style="1019" customWidth="1"/>
    <col min="7185" max="7185" width="5.625" style="1019" customWidth="1"/>
    <col min="7186" max="7186" width="13.875" style="1019" customWidth="1"/>
    <col min="7187" max="7187" width="1.00390625" style="1019" customWidth="1"/>
    <col min="7188" max="7424" width="8.125" style="1019" customWidth="1"/>
    <col min="7425" max="7425" width="2.375" style="1019" customWidth="1"/>
    <col min="7426" max="7426" width="1.875" style="1019" customWidth="1"/>
    <col min="7427" max="7427" width="3.00390625" style="1019" customWidth="1"/>
    <col min="7428" max="7428" width="9.125" style="1019" customWidth="1"/>
    <col min="7429" max="7429" width="11.50390625" style="1019" customWidth="1"/>
    <col min="7430" max="7430" width="0.37109375" style="1019" customWidth="1"/>
    <col min="7431" max="7431" width="2.50390625" style="1019" customWidth="1"/>
    <col min="7432" max="7432" width="2.375" style="1019" customWidth="1"/>
    <col min="7433" max="7433" width="9.50390625" style="1019" customWidth="1"/>
    <col min="7434" max="7434" width="12.50390625" style="1019" customWidth="1"/>
    <col min="7435" max="7435" width="0.5" style="1019" customWidth="1"/>
    <col min="7436" max="7436" width="2.375" style="1019" customWidth="1"/>
    <col min="7437" max="7437" width="3.125" style="1019" customWidth="1"/>
    <col min="7438" max="7438" width="4.125" style="1019" customWidth="1"/>
    <col min="7439" max="7439" width="3.625" style="1019" customWidth="1"/>
    <col min="7440" max="7440" width="10.375" style="1019" customWidth="1"/>
    <col min="7441" max="7441" width="5.625" style="1019" customWidth="1"/>
    <col min="7442" max="7442" width="13.875" style="1019" customWidth="1"/>
    <col min="7443" max="7443" width="1.00390625" style="1019" customWidth="1"/>
    <col min="7444" max="7680" width="8.125" style="1019" customWidth="1"/>
    <col min="7681" max="7681" width="2.375" style="1019" customWidth="1"/>
    <col min="7682" max="7682" width="1.875" style="1019" customWidth="1"/>
    <col min="7683" max="7683" width="3.00390625" style="1019" customWidth="1"/>
    <col min="7684" max="7684" width="9.125" style="1019" customWidth="1"/>
    <col min="7685" max="7685" width="11.50390625" style="1019" customWidth="1"/>
    <col min="7686" max="7686" width="0.37109375" style="1019" customWidth="1"/>
    <col min="7687" max="7687" width="2.50390625" style="1019" customWidth="1"/>
    <col min="7688" max="7688" width="2.375" style="1019" customWidth="1"/>
    <col min="7689" max="7689" width="9.50390625" style="1019" customWidth="1"/>
    <col min="7690" max="7690" width="12.50390625" style="1019" customWidth="1"/>
    <col min="7691" max="7691" width="0.5" style="1019" customWidth="1"/>
    <col min="7692" max="7692" width="2.375" style="1019" customWidth="1"/>
    <col min="7693" max="7693" width="3.125" style="1019" customWidth="1"/>
    <col min="7694" max="7694" width="4.125" style="1019" customWidth="1"/>
    <col min="7695" max="7695" width="3.625" style="1019" customWidth="1"/>
    <col min="7696" max="7696" width="10.375" style="1019" customWidth="1"/>
    <col min="7697" max="7697" width="5.625" style="1019" customWidth="1"/>
    <col min="7698" max="7698" width="13.875" style="1019" customWidth="1"/>
    <col min="7699" max="7699" width="1.00390625" style="1019" customWidth="1"/>
    <col min="7700" max="7936" width="8.125" style="1019" customWidth="1"/>
    <col min="7937" max="7937" width="2.375" style="1019" customWidth="1"/>
    <col min="7938" max="7938" width="1.875" style="1019" customWidth="1"/>
    <col min="7939" max="7939" width="3.00390625" style="1019" customWidth="1"/>
    <col min="7940" max="7940" width="9.125" style="1019" customWidth="1"/>
    <col min="7941" max="7941" width="11.50390625" style="1019" customWidth="1"/>
    <col min="7942" max="7942" width="0.37109375" style="1019" customWidth="1"/>
    <col min="7943" max="7943" width="2.50390625" style="1019" customWidth="1"/>
    <col min="7944" max="7944" width="2.375" style="1019" customWidth="1"/>
    <col min="7945" max="7945" width="9.50390625" style="1019" customWidth="1"/>
    <col min="7946" max="7946" width="12.50390625" style="1019" customWidth="1"/>
    <col min="7947" max="7947" width="0.5" style="1019" customWidth="1"/>
    <col min="7948" max="7948" width="2.375" style="1019" customWidth="1"/>
    <col min="7949" max="7949" width="3.125" style="1019" customWidth="1"/>
    <col min="7950" max="7950" width="4.125" style="1019" customWidth="1"/>
    <col min="7951" max="7951" width="3.625" style="1019" customWidth="1"/>
    <col min="7952" max="7952" width="10.375" style="1019" customWidth="1"/>
    <col min="7953" max="7953" width="5.625" style="1019" customWidth="1"/>
    <col min="7954" max="7954" width="13.875" style="1019" customWidth="1"/>
    <col min="7955" max="7955" width="1.00390625" style="1019" customWidth="1"/>
    <col min="7956" max="8192" width="8.125" style="1019" customWidth="1"/>
    <col min="8193" max="8193" width="2.375" style="1019" customWidth="1"/>
    <col min="8194" max="8194" width="1.875" style="1019" customWidth="1"/>
    <col min="8195" max="8195" width="3.00390625" style="1019" customWidth="1"/>
    <col min="8196" max="8196" width="9.125" style="1019" customWidth="1"/>
    <col min="8197" max="8197" width="11.50390625" style="1019" customWidth="1"/>
    <col min="8198" max="8198" width="0.37109375" style="1019" customWidth="1"/>
    <col min="8199" max="8199" width="2.50390625" style="1019" customWidth="1"/>
    <col min="8200" max="8200" width="2.375" style="1019" customWidth="1"/>
    <col min="8201" max="8201" width="9.50390625" style="1019" customWidth="1"/>
    <col min="8202" max="8202" width="12.50390625" style="1019" customWidth="1"/>
    <col min="8203" max="8203" width="0.5" style="1019" customWidth="1"/>
    <col min="8204" max="8204" width="2.375" style="1019" customWidth="1"/>
    <col min="8205" max="8205" width="3.125" style="1019" customWidth="1"/>
    <col min="8206" max="8206" width="4.125" style="1019" customWidth="1"/>
    <col min="8207" max="8207" width="3.625" style="1019" customWidth="1"/>
    <col min="8208" max="8208" width="10.375" style="1019" customWidth="1"/>
    <col min="8209" max="8209" width="5.625" style="1019" customWidth="1"/>
    <col min="8210" max="8210" width="13.875" style="1019" customWidth="1"/>
    <col min="8211" max="8211" width="1.00390625" style="1019" customWidth="1"/>
    <col min="8212" max="8448" width="8.125" style="1019" customWidth="1"/>
    <col min="8449" max="8449" width="2.375" style="1019" customWidth="1"/>
    <col min="8450" max="8450" width="1.875" style="1019" customWidth="1"/>
    <col min="8451" max="8451" width="3.00390625" style="1019" customWidth="1"/>
    <col min="8452" max="8452" width="9.125" style="1019" customWidth="1"/>
    <col min="8453" max="8453" width="11.50390625" style="1019" customWidth="1"/>
    <col min="8454" max="8454" width="0.37109375" style="1019" customWidth="1"/>
    <col min="8455" max="8455" width="2.50390625" style="1019" customWidth="1"/>
    <col min="8456" max="8456" width="2.375" style="1019" customWidth="1"/>
    <col min="8457" max="8457" width="9.50390625" style="1019" customWidth="1"/>
    <col min="8458" max="8458" width="12.50390625" style="1019" customWidth="1"/>
    <col min="8459" max="8459" width="0.5" style="1019" customWidth="1"/>
    <col min="8460" max="8460" width="2.375" style="1019" customWidth="1"/>
    <col min="8461" max="8461" width="3.125" style="1019" customWidth="1"/>
    <col min="8462" max="8462" width="4.125" style="1019" customWidth="1"/>
    <col min="8463" max="8463" width="3.625" style="1019" customWidth="1"/>
    <col min="8464" max="8464" width="10.375" style="1019" customWidth="1"/>
    <col min="8465" max="8465" width="5.625" style="1019" customWidth="1"/>
    <col min="8466" max="8466" width="13.875" style="1019" customWidth="1"/>
    <col min="8467" max="8467" width="1.00390625" style="1019" customWidth="1"/>
    <col min="8468" max="8704" width="8.125" style="1019" customWidth="1"/>
    <col min="8705" max="8705" width="2.375" style="1019" customWidth="1"/>
    <col min="8706" max="8706" width="1.875" style="1019" customWidth="1"/>
    <col min="8707" max="8707" width="3.00390625" style="1019" customWidth="1"/>
    <col min="8708" max="8708" width="9.125" style="1019" customWidth="1"/>
    <col min="8709" max="8709" width="11.50390625" style="1019" customWidth="1"/>
    <col min="8710" max="8710" width="0.37109375" style="1019" customWidth="1"/>
    <col min="8711" max="8711" width="2.50390625" style="1019" customWidth="1"/>
    <col min="8712" max="8712" width="2.375" style="1019" customWidth="1"/>
    <col min="8713" max="8713" width="9.50390625" style="1019" customWidth="1"/>
    <col min="8714" max="8714" width="12.50390625" style="1019" customWidth="1"/>
    <col min="8715" max="8715" width="0.5" style="1019" customWidth="1"/>
    <col min="8716" max="8716" width="2.375" style="1019" customWidth="1"/>
    <col min="8717" max="8717" width="3.125" style="1019" customWidth="1"/>
    <col min="8718" max="8718" width="4.125" style="1019" customWidth="1"/>
    <col min="8719" max="8719" width="3.625" style="1019" customWidth="1"/>
    <col min="8720" max="8720" width="10.375" style="1019" customWidth="1"/>
    <col min="8721" max="8721" width="5.625" style="1019" customWidth="1"/>
    <col min="8722" max="8722" width="13.875" style="1019" customWidth="1"/>
    <col min="8723" max="8723" width="1.00390625" style="1019" customWidth="1"/>
    <col min="8724" max="8960" width="8.125" style="1019" customWidth="1"/>
    <col min="8961" max="8961" width="2.375" style="1019" customWidth="1"/>
    <col min="8962" max="8962" width="1.875" style="1019" customWidth="1"/>
    <col min="8963" max="8963" width="3.00390625" style="1019" customWidth="1"/>
    <col min="8964" max="8964" width="9.125" style="1019" customWidth="1"/>
    <col min="8965" max="8965" width="11.50390625" style="1019" customWidth="1"/>
    <col min="8966" max="8966" width="0.37109375" style="1019" customWidth="1"/>
    <col min="8967" max="8967" width="2.50390625" style="1019" customWidth="1"/>
    <col min="8968" max="8968" width="2.375" style="1019" customWidth="1"/>
    <col min="8969" max="8969" width="9.50390625" style="1019" customWidth="1"/>
    <col min="8970" max="8970" width="12.50390625" style="1019" customWidth="1"/>
    <col min="8971" max="8971" width="0.5" style="1019" customWidth="1"/>
    <col min="8972" max="8972" width="2.375" style="1019" customWidth="1"/>
    <col min="8973" max="8973" width="3.125" style="1019" customWidth="1"/>
    <col min="8974" max="8974" width="4.125" style="1019" customWidth="1"/>
    <col min="8975" max="8975" width="3.625" style="1019" customWidth="1"/>
    <col min="8976" max="8976" width="10.375" style="1019" customWidth="1"/>
    <col min="8977" max="8977" width="5.625" style="1019" customWidth="1"/>
    <col min="8978" max="8978" width="13.875" style="1019" customWidth="1"/>
    <col min="8979" max="8979" width="1.00390625" style="1019" customWidth="1"/>
    <col min="8980" max="9216" width="8.125" style="1019" customWidth="1"/>
    <col min="9217" max="9217" width="2.375" style="1019" customWidth="1"/>
    <col min="9218" max="9218" width="1.875" style="1019" customWidth="1"/>
    <col min="9219" max="9219" width="3.00390625" style="1019" customWidth="1"/>
    <col min="9220" max="9220" width="9.125" style="1019" customWidth="1"/>
    <col min="9221" max="9221" width="11.50390625" style="1019" customWidth="1"/>
    <col min="9222" max="9222" width="0.37109375" style="1019" customWidth="1"/>
    <col min="9223" max="9223" width="2.50390625" style="1019" customWidth="1"/>
    <col min="9224" max="9224" width="2.375" style="1019" customWidth="1"/>
    <col min="9225" max="9225" width="9.50390625" style="1019" customWidth="1"/>
    <col min="9226" max="9226" width="12.50390625" style="1019" customWidth="1"/>
    <col min="9227" max="9227" width="0.5" style="1019" customWidth="1"/>
    <col min="9228" max="9228" width="2.375" style="1019" customWidth="1"/>
    <col min="9229" max="9229" width="3.125" style="1019" customWidth="1"/>
    <col min="9230" max="9230" width="4.125" style="1019" customWidth="1"/>
    <col min="9231" max="9231" width="3.625" style="1019" customWidth="1"/>
    <col min="9232" max="9232" width="10.375" style="1019" customWidth="1"/>
    <col min="9233" max="9233" width="5.625" style="1019" customWidth="1"/>
    <col min="9234" max="9234" width="13.875" style="1019" customWidth="1"/>
    <col min="9235" max="9235" width="1.00390625" style="1019" customWidth="1"/>
    <col min="9236" max="9472" width="8.125" style="1019" customWidth="1"/>
    <col min="9473" max="9473" width="2.375" style="1019" customWidth="1"/>
    <col min="9474" max="9474" width="1.875" style="1019" customWidth="1"/>
    <col min="9475" max="9475" width="3.00390625" style="1019" customWidth="1"/>
    <col min="9476" max="9476" width="9.125" style="1019" customWidth="1"/>
    <col min="9477" max="9477" width="11.50390625" style="1019" customWidth="1"/>
    <col min="9478" max="9478" width="0.37109375" style="1019" customWidth="1"/>
    <col min="9479" max="9479" width="2.50390625" style="1019" customWidth="1"/>
    <col min="9480" max="9480" width="2.375" style="1019" customWidth="1"/>
    <col min="9481" max="9481" width="9.50390625" style="1019" customWidth="1"/>
    <col min="9482" max="9482" width="12.50390625" style="1019" customWidth="1"/>
    <col min="9483" max="9483" width="0.5" style="1019" customWidth="1"/>
    <col min="9484" max="9484" width="2.375" style="1019" customWidth="1"/>
    <col min="9485" max="9485" width="3.125" style="1019" customWidth="1"/>
    <col min="9486" max="9486" width="4.125" style="1019" customWidth="1"/>
    <col min="9487" max="9487" width="3.625" style="1019" customWidth="1"/>
    <col min="9488" max="9488" width="10.375" style="1019" customWidth="1"/>
    <col min="9489" max="9489" width="5.625" style="1019" customWidth="1"/>
    <col min="9490" max="9490" width="13.875" style="1019" customWidth="1"/>
    <col min="9491" max="9491" width="1.00390625" style="1019" customWidth="1"/>
    <col min="9492" max="9728" width="8.125" style="1019" customWidth="1"/>
    <col min="9729" max="9729" width="2.375" style="1019" customWidth="1"/>
    <col min="9730" max="9730" width="1.875" style="1019" customWidth="1"/>
    <col min="9731" max="9731" width="3.00390625" style="1019" customWidth="1"/>
    <col min="9732" max="9732" width="9.125" style="1019" customWidth="1"/>
    <col min="9733" max="9733" width="11.50390625" style="1019" customWidth="1"/>
    <col min="9734" max="9734" width="0.37109375" style="1019" customWidth="1"/>
    <col min="9735" max="9735" width="2.50390625" style="1019" customWidth="1"/>
    <col min="9736" max="9736" width="2.375" style="1019" customWidth="1"/>
    <col min="9737" max="9737" width="9.50390625" style="1019" customWidth="1"/>
    <col min="9738" max="9738" width="12.50390625" style="1019" customWidth="1"/>
    <col min="9739" max="9739" width="0.5" style="1019" customWidth="1"/>
    <col min="9740" max="9740" width="2.375" style="1019" customWidth="1"/>
    <col min="9741" max="9741" width="3.125" style="1019" customWidth="1"/>
    <col min="9742" max="9742" width="4.125" style="1019" customWidth="1"/>
    <col min="9743" max="9743" width="3.625" style="1019" customWidth="1"/>
    <col min="9744" max="9744" width="10.375" style="1019" customWidth="1"/>
    <col min="9745" max="9745" width="5.625" style="1019" customWidth="1"/>
    <col min="9746" max="9746" width="13.875" style="1019" customWidth="1"/>
    <col min="9747" max="9747" width="1.00390625" style="1019" customWidth="1"/>
    <col min="9748" max="9984" width="8.125" style="1019" customWidth="1"/>
    <col min="9985" max="9985" width="2.375" style="1019" customWidth="1"/>
    <col min="9986" max="9986" width="1.875" style="1019" customWidth="1"/>
    <col min="9987" max="9987" width="3.00390625" style="1019" customWidth="1"/>
    <col min="9988" max="9988" width="9.125" style="1019" customWidth="1"/>
    <col min="9989" max="9989" width="11.50390625" style="1019" customWidth="1"/>
    <col min="9990" max="9990" width="0.37109375" style="1019" customWidth="1"/>
    <col min="9991" max="9991" width="2.50390625" style="1019" customWidth="1"/>
    <col min="9992" max="9992" width="2.375" style="1019" customWidth="1"/>
    <col min="9993" max="9993" width="9.50390625" style="1019" customWidth="1"/>
    <col min="9994" max="9994" width="12.50390625" style="1019" customWidth="1"/>
    <col min="9995" max="9995" width="0.5" style="1019" customWidth="1"/>
    <col min="9996" max="9996" width="2.375" style="1019" customWidth="1"/>
    <col min="9997" max="9997" width="3.125" style="1019" customWidth="1"/>
    <col min="9998" max="9998" width="4.125" style="1019" customWidth="1"/>
    <col min="9999" max="9999" width="3.625" style="1019" customWidth="1"/>
    <col min="10000" max="10000" width="10.375" style="1019" customWidth="1"/>
    <col min="10001" max="10001" width="5.625" style="1019" customWidth="1"/>
    <col min="10002" max="10002" width="13.875" style="1019" customWidth="1"/>
    <col min="10003" max="10003" width="1.00390625" style="1019" customWidth="1"/>
    <col min="10004" max="10240" width="8.125" style="1019" customWidth="1"/>
    <col min="10241" max="10241" width="2.375" style="1019" customWidth="1"/>
    <col min="10242" max="10242" width="1.875" style="1019" customWidth="1"/>
    <col min="10243" max="10243" width="3.00390625" style="1019" customWidth="1"/>
    <col min="10244" max="10244" width="9.125" style="1019" customWidth="1"/>
    <col min="10245" max="10245" width="11.50390625" style="1019" customWidth="1"/>
    <col min="10246" max="10246" width="0.37109375" style="1019" customWidth="1"/>
    <col min="10247" max="10247" width="2.50390625" style="1019" customWidth="1"/>
    <col min="10248" max="10248" width="2.375" style="1019" customWidth="1"/>
    <col min="10249" max="10249" width="9.50390625" style="1019" customWidth="1"/>
    <col min="10250" max="10250" width="12.50390625" style="1019" customWidth="1"/>
    <col min="10251" max="10251" width="0.5" style="1019" customWidth="1"/>
    <col min="10252" max="10252" width="2.375" style="1019" customWidth="1"/>
    <col min="10253" max="10253" width="3.125" style="1019" customWidth="1"/>
    <col min="10254" max="10254" width="4.125" style="1019" customWidth="1"/>
    <col min="10255" max="10255" width="3.625" style="1019" customWidth="1"/>
    <col min="10256" max="10256" width="10.375" style="1019" customWidth="1"/>
    <col min="10257" max="10257" width="5.625" style="1019" customWidth="1"/>
    <col min="10258" max="10258" width="13.875" style="1019" customWidth="1"/>
    <col min="10259" max="10259" width="1.00390625" style="1019" customWidth="1"/>
    <col min="10260" max="10496" width="8.125" style="1019" customWidth="1"/>
    <col min="10497" max="10497" width="2.375" style="1019" customWidth="1"/>
    <col min="10498" max="10498" width="1.875" style="1019" customWidth="1"/>
    <col min="10499" max="10499" width="3.00390625" style="1019" customWidth="1"/>
    <col min="10500" max="10500" width="9.125" style="1019" customWidth="1"/>
    <col min="10501" max="10501" width="11.50390625" style="1019" customWidth="1"/>
    <col min="10502" max="10502" width="0.37109375" style="1019" customWidth="1"/>
    <col min="10503" max="10503" width="2.50390625" style="1019" customWidth="1"/>
    <col min="10504" max="10504" width="2.375" style="1019" customWidth="1"/>
    <col min="10505" max="10505" width="9.50390625" style="1019" customWidth="1"/>
    <col min="10506" max="10506" width="12.50390625" style="1019" customWidth="1"/>
    <col min="10507" max="10507" width="0.5" style="1019" customWidth="1"/>
    <col min="10508" max="10508" width="2.375" style="1019" customWidth="1"/>
    <col min="10509" max="10509" width="3.125" style="1019" customWidth="1"/>
    <col min="10510" max="10510" width="4.125" style="1019" customWidth="1"/>
    <col min="10511" max="10511" width="3.625" style="1019" customWidth="1"/>
    <col min="10512" max="10512" width="10.375" style="1019" customWidth="1"/>
    <col min="10513" max="10513" width="5.625" style="1019" customWidth="1"/>
    <col min="10514" max="10514" width="13.875" style="1019" customWidth="1"/>
    <col min="10515" max="10515" width="1.00390625" style="1019" customWidth="1"/>
    <col min="10516" max="10752" width="8.125" style="1019" customWidth="1"/>
    <col min="10753" max="10753" width="2.375" style="1019" customWidth="1"/>
    <col min="10754" max="10754" width="1.875" style="1019" customWidth="1"/>
    <col min="10755" max="10755" width="3.00390625" style="1019" customWidth="1"/>
    <col min="10756" max="10756" width="9.125" style="1019" customWidth="1"/>
    <col min="10757" max="10757" width="11.50390625" style="1019" customWidth="1"/>
    <col min="10758" max="10758" width="0.37109375" style="1019" customWidth="1"/>
    <col min="10759" max="10759" width="2.50390625" style="1019" customWidth="1"/>
    <col min="10760" max="10760" width="2.375" style="1019" customWidth="1"/>
    <col min="10761" max="10761" width="9.50390625" style="1019" customWidth="1"/>
    <col min="10762" max="10762" width="12.50390625" style="1019" customWidth="1"/>
    <col min="10763" max="10763" width="0.5" style="1019" customWidth="1"/>
    <col min="10764" max="10764" width="2.375" style="1019" customWidth="1"/>
    <col min="10765" max="10765" width="3.125" style="1019" customWidth="1"/>
    <col min="10766" max="10766" width="4.125" style="1019" customWidth="1"/>
    <col min="10767" max="10767" width="3.625" style="1019" customWidth="1"/>
    <col min="10768" max="10768" width="10.375" style="1019" customWidth="1"/>
    <col min="10769" max="10769" width="5.625" style="1019" customWidth="1"/>
    <col min="10770" max="10770" width="13.875" style="1019" customWidth="1"/>
    <col min="10771" max="10771" width="1.00390625" style="1019" customWidth="1"/>
    <col min="10772" max="11008" width="8.125" style="1019" customWidth="1"/>
    <col min="11009" max="11009" width="2.375" style="1019" customWidth="1"/>
    <col min="11010" max="11010" width="1.875" style="1019" customWidth="1"/>
    <col min="11011" max="11011" width="3.00390625" style="1019" customWidth="1"/>
    <col min="11012" max="11012" width="9.125" style="1019" customWidth="1"/>
    <col min="11013" max="11013" width="11.50390625" style="1019" customWidth="1"/>
    <col min="11014" max="11014" width="0.37109375" style="1019" customWidth="1"/>
    <col min="11015" max="11015" width="2.50390625" style="1019" customWidth="1"/>
    <col min="11016" max="11016" width="2.375" style="1019" customWidth="1"/>
    <col min="11017" max="11017" width="9.50390625" style="1019" customWidth="1"/>
    <col min="11018" max="11018" width="12.50390625" style="1019" customWidth="1"/>
    <col min="11019" max="11019" width="0.5" style="1019" customWidth="1"/>
    <col min="11020" max="11020" width="2.375" style="1019" customWidth="1"/>
    <col min="11021" max="11021" width="3.125" style="1019" customWidth="1"/>
    <col min="11022" max="11022" width="4.125" style="1019" customWidth="1"/>
    <col min="11023" max="11023" width="3.625" style="1019" customWidth="1"/>
    <col min="11024" max="11024" width="10.375" style="1019" customWidth="1"/>
    <col min="11025" max="11025" width="5.625" style="1019" customWidth="1"/>
    <col min="11026" max="11026" width="13.875" style="1019" customWidth="1"/>
    <col min="11027" max="11027" width="1.00390625" style="1019" customWidth="1"/>
    <col min="11028" max="11264" width="8.125" style="1019" customWidth="1"/>
    <col min="11265" max="11265" width="2.375" style="1019" customWidth="1"/>
    <col min="11266" max="11266" width="1.875" style="1019" customWidth="1"/>
    <col min="11267" max="11267" width="3.00390625" style="1019" customWidth="1"/>
    <col min="11268" max="11268" width="9.125" style="1019" customWidth="1"/>
    <col min="11269" max="11269" width="11.50390625" style="1019" customWidth="1"/>
    <col min="11270" max="11270" width="0.37109375" style="1019" customWidth="1"/>
    <col min="11271" max="11271" width="2.50390625" style="1019" customWidth="1"/>
    <col min="11272" max="11272" width="2.375" style="1019" customWidth="1"/>
    <col min="11273" max="11273" width="9.50390625" style="1019" customWidth="1"/>
    <col min="11274" max="11274" width="12.50390625" style="1019" customWidth="1"/>
    <col min="11275" max="11275" width="0.5" style="1019" customWidth="1"/>
    <col min="11276" max="11276" width="2.375" style="1019" customWidth="1"/>
    <col min="11277" max="11277" width="3.125" style="1019" customWidth="1"/>
    <col min="11278" max="11278" width="4.125" style="1019" customWidth="1"/>
    <col min="11279" max="11279" width="3.625" style="1019" customWidth="1"/>
    <col min="11280" max="11280" width="10.375" style="1019" customWidth="1"/>
    <col min="11281" max="11281" width="5.625" style="1019" customWidth="1"/>
    <col min="11282" max="11282" width="13.875" style="1019" customWidth="1"/>
    <col min="11283" max="11283" width="1.00390625" style="1019" customWidth="1"/>
    <col min="11284" max="11520" width="8.125" style="1019" customWidth="1"/>
    <col min="11521" max="11521" width="2.375" style="1019" customWidth="1"/>
    <col min="11522" max="11522" width="1.875" style="1019" customWidth="1"/>
    <col min="11523" max="11523" width="3.00390625" style="1019" customWidth="1"/>
    <col min="11524" max="11524" width="9.125" style="1019" customWidth="1"/>
    <col min="11525" max="11525" width="11.50390625" style="1019" customWidth="1"/>
    <col min="11526" max="11526" width="0.37109375" style="1019" customWidth="1"/>
    <col min="11527" max="11527" width="2.50390625" style="1019" customWidth="1"/>
    <col min="11528" max="11528" width="2.375" style="1019" customWidth="1"/>
    <col min="11529" max="11529" width="9.50390625" style="1019" customWidth="1"/>
    <col min="11530" max="11530" width="12.50390625" style="1019" customWidth="1"/>
    <col min="11531" max="11531" width="0.5" style="1019" customWidth="1"/>
    <col min="11532" max="11532" width="2.375" style="1019" customWidth="1"/>
    <col min="11533" max="11533" width="3.125" style="1019" customWidth="1"/>
    <col min="11534" max="11534" width="4.125" style="1019" customWidth="1"/>
    <col min="11535" max="11535" width="3.625" style="1019" customWidth="1"/>
    <col min="11536" max="11536" width="10.375" style="1019" customWidth="1"/>
    <col min="11537" max="11537" width="5.625" style="1019" customWidth="1"/>
    <col min="11538" max="11538" width="13.875" style="1019" customWidth="1"/>
    <col min="11539" max="11539" width="1.00390625" style="1019" customWidth="1"/>
    <col min="11540" max="11776" width="8.125" style="1019" customWidth="1"/>
    <col min="11777" max="11777" width="2.375" style="1019" customWidth="1"/>
    <col min="11778" max="11778" width="1.875" style="1019" customWidth="1"/>
    <col min="11779" max="11779" width="3.00390625" style="1019" customWidth="1"/>
    <col min="11780" max="11780" width="9.125" style="1019" customWidth="1"/>
    <col min="11781" max="11781" width="11.50390625" style="1019" customWidth="1"/>
    <col min="11782" max="11782" width="0.37109375" style="1019" customWidth="1"/>
    <col min="11783" max="11783" width="2.50390625" style="1019" customWidth="1"/>
    <col min="11784" max="11784" width="2.375" style="1019" customWidth="1"/>
    <col min="11785" max="11785" width="9.50390625" style="1019" customWidth="1"/>
    <col min="11786" max="11786" width="12.50390625" style="1019" customWidth="1"/>
    <col min="11787" max="11787" width="0.5" style="1019" customWidth="1"/>
    <col min="11788" max="11788" width="2.375" style="1019" customWidth="1"/>
    <col min="11789" max="11789" width="3.125" style="1019" customWidth="1"/>
    <col min="11790" max="11790" width="4.125" style="1019" customWidth="1"/>
    <col min="11791" max="11791" width="3.625" style="1019" customWidth="1"/>
    <col min="11792" max="11792" width="10.375" style="1019" customWidth="1"/>
    <col min="11793" max="11793" width="5.625" style="1019" customWidth="1"/>
    <col min="11794" max="11794" width="13.875" style="1019" customWidth="1"/>
    <col min="11795" max="11795" width="1.00390625" style="1019" customWidth="1"/>
    <col min="11796" max="12032" width="8.125" style="1019" customWidth="1"/>
    <col min="12033" max="12033" width="2.375" style="1019" customWidth="1"/>
    <col min="12034" max="12034" width="1.875" style="1019" customWidth="1"/>
    <col min="12035" max="12035" width="3.00390625" style="1019" customWidth="1"/>
    <col min="12036" max="12036" width="9.125" style="1019" customWidth="1"/>
    <col min="12037" max="12037" width="11.50390625" style="1019" customWidth="1"/>
    <col min="12038" max="12038" width="0.37109375" style="1019" customWidth="1"/>
    <col min="12039" max="12039" width="2.50390625" style="1019" customWidth="1"/>
    <col min="12040" max="12040" width="2.375" style="1019" customWidth="1"/>
    <col min="12041" max="12041" width="9.50390625" style="1019" customWidth="1"/>
    <col min="12042" max="12042" width="12.50390625" style="1019" customWidth="1"/>
    <col min="12043" max="12043" width="0.5" style="1019" customWidth="1"/>
    <col min="12044" max="12044" width="2.375" style="1019" customWidth="1"/>
    <col min="12045" max="12045" width="3.125" style="1019" customWidth="1"/>
    <col min="12046" max="12046" width="4.125" style="1019" customWidth="1"/>
    <col min="12047" max="12047" width="3.625" style="1019" customWidth="1"/>
    <col min="12048" max="12048" width="10.375" style="1019" customWidth="1"/>
    <col min="12049" max="12049" width="5.625" style="1019" customWidth="1"/>
    <col min="12050" max="12050" width="13.875" style="1019" customWidth="1"/>
    <col min="12051" max="12051" width="1.00390625" style="1019" customWidth="1"/>
    <col min="12052" max="12288" width="8.125" style="1019" customWidth="1"/>
    <col min="12289" max="12289" width="2.375" style="1019" customWidth="1"/>
    <col min="12290" max="12290" width="1.875" style="1019" customWidth="1"/>
    <col min="12291" max="12291" width="3.00390625" style="1019" customWidth="1"/>
    <col min="12292" max="12292" width="9.125" style="1019" customWidth="1"/>
    <col min="12293" max="12293" width="11.50390625" style="1019" customWidth="1"/>
    <col min="12294" max="12294" width="0.37109375" style="1019" customWidth="1"/>
    <col min="12295" max="12295" width="2.50390625" style="1019" customWidth="1"/>
    <col min="12296" max="12296" width="2.375" style="1019" customWidth="1"/>
    <col min="12297" max="12297" width="9.50390625" style="1019" customWidth="1"/>
    <col min="12298" max="12298" width="12.50390625" style="1019" customWidth="1"/>
    <col min="12299" max="12299" width="0.5" style="1019" customWidth="1"/>
    <col min="12300" max="12300" width="2.375" style="1019" customWidth="1"/>
    <col min="12301" max="12301" width="3.125" style="1019" customWidth="1"/>
    <col min="12302" max="12302" width="4.125" style="1019" customWidth="1"/>
    <col min="12303" max="12303" width="3.625" style="1019" customWidth="1"/>
    <col min="12304" max="12304" width="10.375" style="1019" customWidth="1"/>
    <col min="12305" max="12305" width="5.625" style="1019" customWidth="1"/>
    <col min="12306" max="12306" width="13.875" style="1019" customWidth="1"/>
    <col min="12307" max="12307" width="1.00390625" style="1019" customWidth="1"/>
    <col min="12308" max="12544" width="8.125" style="1019" customWidth="1"/>
    <col min="12545" max="12545" width="2.375" style="1019" customWidth="1"/>
    <col min="12546" max="12546" width="1.875" style="1019" customWidth="1"/>
    <col min="12547" max="12547" width="3.00390625" style="1019" customWidth="1"/>
    <col min="12548" max="12548" width="9.125" style="1019" customWidth="1"/>
    <col min="12549" max="12549" width="11.50390625" style="1019" customWidth="1"/>
    <col min="12550" max="12550" width="0.37109375" style="1019" customWidth="1"/>
    <col min="12551" max="12551" width="2.50390625" style="1019" customWidth="1"/>
    <col min="12552" max="12552" width="2.375" style="1019" customWidth="1"/>
    <col min="12553" max="12553" width="9.50390625" style="1019" customWidth="1"/>
    <col min="12554" max="12554" width="12.50390625" style="1019" customWidth="1"/>
    <col min="12555" max="12555" width="0.5" style="1019" customWidth="1"/>
    <col min="12556" max="12556" width="2.375" style="1019" customWidth="1"/>
    <col min="12557" max="12557" width="3.125" style="1019" customWidth="1"/>
    <col min="12558" max="12558" width="4.125" style="1019" customWidth="1"/>
    <col min="12559" max="12559" width="3.625" style="1019" customWidth="1"/>
    <col min="12560" max="12560" width="10.375" style="1019" customWidth="1"/>
    <col min="12561" max="12561" width="5.625" style="1019" customWidth="1"/>
    <col min="12562" max="12562" width="13.875" style="1019" customWidth="1"/>
    <col min="12563" max="12563" width="1.00390625" style="1019" customWidth="1"/>
    <col min="12564" max="12800" width="8.125" style="1019" customWidth="1"/>
    <col min="12801" max="12801" width="2.375" style="1019" customWidth="1"/>
    <col min="12802" max="12802" width="1.875" style="1019" customWidth="1"/>
    <col min="12803" max="12803" width="3.00390625" style="1019" customWidth="1"/>
    <col min="12804" max="12804" width="9.125" style="1019" customWidth="1"/>
    <col min="12805" max="12805" width="11.50390625" style="1019" customWidth="1"/>
    <col min="12806" max="12806" width="0.37109375" style="1019" customWidth="1"/>
    <col min="12807" max="12807" width="2.50390625" style="1019" customWidth="1"/>
    <col min="12808" max="12808" width="2.375" style="1019" customWidth="1"/>
    <col min="12809" max="12809" width="9.50390625" style="1019" customWidth="1"/>
    <col min="12810" max="12810" width="12.50390625" style="1019" customWidth="1"/>
    <col min="12811" max="12811" width="0.5" style="1019" customWidth="1"/>
    <col min="12812" max="12812" width="2.375" style="1019" customWidth="1"/>
    <col min="12813" max="12813" width="3.125" style="1019" customWidth="1"/>
    <col min="12814" max="12814" width="4.125" style="1019" customWidth="1"/>
    <col min="12815" max="12815" width="3.625" style="1019" customWidth="1"/>
    <col min="12816" max="12816" width="10.375" style="1019" customWidth="1"/>
    <col min="12817" max="12817" width="5.625" style="1019" customWidth="1"/>
    <col min="12818" max="12818" width="13.875" style="1019" customWidth="1"/>
    <col min="12819" max="12819" width="1.00390625" style="1019" customWidth="1"/>
    <col min="12820" max="13056" width="8.125" style="1019" customWidth="1"/>
    <col min="13057" max="13057" width="2.375" style="1019" customWidth="1"/>
    <col min="13058" max="13058" width="1.875" style="1019" customWidth="1"/>
    <col min="13059" max="13059" width="3.00390625" style="1019" customWidth="1"/>
    <col min="13060" max="13060" width="9.125" style="1019" customWidth="1"/>
    <col min="13061" max="13061" width="11.50390625" style="1019" customWidth="1"/>
    <col min="13062" max="13062" width="0.37109375" style="1019" customWidth="1"/>
    <col min="13063" max="13063" width="2.50390625" style="1019" customWidth="1"/>
    <col min="13064" max="13064" width="2.375" style="1019" customWidth="1"/>
    <col min="13065" max="13065" width="9.50390625" style="1019" customWidth="1"/>
    <col min="13066" max="13066" width="12.50390625" style="1019" customWidth="1"/>
    <col min="13067" max="13067" width="0.5" style="1019" customWidth="1"/>
    <col min="13068" max="13068" width="2.375" style="1019" customWidth="1"/>
    <col min="13069" max="13069" width="3.125" style="1019" customWidth="1"/>
    <col min="13070" max="13070" width="4.125" style="1019" customWidth="1"/>
    <col min="13071" max="13071" width="3.625" style="1019" customWidth="1"/>
    <col min="13072" max="13072" width="10.375" style="1019" customWidth="1"/>
    <col min="13073" max="13073" width="5.625" style="1019" customWidth="1"/>
    <col min="13074" max="13074" width="13.875" style="1019" customWidth="1"/>
    <col min="13075" max="13075" width="1.00390625" style="1019" customWidth="1"/>
    <col min="13076" max="13312" width="8.125" style="1019" customWidth="1"/>
    <col min="13313" max="13313" width="2.375" style="1019" customWidth="1"/>
    <col min="13314" max="13314" width="1.875" style="1019" customWidth="1"/>
    <col min="13315" max="13315" width="3.00390625" style="1019" customWidth="1"/>
    <col min="13316" max="13316" width="9.125" style="1019" customWidth="1"/>
    <col min="13317" max="13317" width="11.50390625" style="1019" customWidth="1"/>
    <col min="13318" max="13318" width="0.37109375" style="1019" customWidth="1"/>
    <col min="13319" max="13319" width="2.50390625" style="1019" customWidth="1"/>
    <col min="13320" max="13320" width="2.375" style="1019" customWidth="1"/>
    <col min="13321" max="13321" width="9.50390625" style="1019" customWidth="1"/>
    <col min="13322" max="13322" width="12.50390625" style="1019" customWidth="1"/>
    <col min="13323" max="13323" width="0.5" style="1019" customWidth="1"/>
    <col min="13324" max="13324" width="2.375" style="1019" customWidth="1"/>
    <col min="13325" max="13325" width="3.125" style="1019" customWidth="1"/>
    <col min="13326" max="13326" width="4.125" style="1019" customWidth="1"/>
    <col min="13327" max="13327" width="3.625" style="1019" customWidth="1"/>
    <col min="13328" max="13328" width="10.375" style="1019" customWidth="1"/>
    <col min="13329" max="13329" width="5.625" style="1019" customWidth="1"/>
    <col min="13330" max="13330" width="13.875" style="1019" customWidth="1"/>
    <col min="13331" max="13331" width="1.00390625" style="1019" customWidth="1"/>
    <col min="13332" max="13568" width="8.125" style="1019" customWidth="1"/>
    <col min="13569" max="13569" width="2.375" style="1019" customWidth="1"/>
    <col min="13570" max="13570" width="1.875" style="1019" customWidth="1"/>
    <col min="13571" max="13571" width="3.00390625" style="1019" customWidth="1"/>
    <col min="13572" max="13572" width="9.125" style="1019" customWidth="1"/>
    <col min="13573" max="13573" width="11.50390625" style="1019" customWidth="1"/>
    <col min="13574" max="13574" width="0.37109375" style="1019" customWidth="1"/>
    <col min="13575" max="13575" width="2.50390625" style="1019" customWidth="1"/>
    <col min="13576" max="13576" width="2.375" style="1019" customWidth="1"/>
    <col min="13577" max="13577" width="9.50390625" style="1019" customWidth="1"/>
    <col min="13578" max="13578" width="12.50390625" style="1019" customWidth="1"/>
    <col min="13579" max="13579" width="0.5" style="1019" customWidth="1"/>
    <col min="13580" max="13580" width="2.375" style="1019" customWidth="1"/>
    <col min="13581" max="13581" width="3.125" style="1019" customWidth="1"/>
    <col min="13582" max="13582" width="4.125" style="1019" customWidth="1"/>
    <col min="13583" max="13583" width="3.625" style="1019" customWidth="1"/>
    <col min="13584" max="13584" width="10.375" style="1019" customWidth="1"/>
    <col min="13585" max="13585" width="5.625" style="1019" customWidth="1"/>
    <col min="13586" max="13586" width="13.875" style="1019" customWidth="1"/>
    <col min="13587" max="13587" width="1.00390625" style="1019" customWidth="1"/>
    <col min="13588" max="13824" width="8.125" style="1019" customWidth="1"/>
    <col min="13825" max="13825" width="2.375" style="1019" customWidth="1"/>
    <col min="13826" max="13826" width="1.875" style="1019" customWidth="1"/>
    <col min="13827" max="13827" width="3.00390625" style="1019" customWidth="1"/>
    <col min="13828" max="13828" width="9.125" style="1019" customWidth="1"/>
    <col min="13829" max="13829" width="11.50390625" style="1019" customWidth="1"/>
    <col min="13830" max="13830" width="0.37109375" style="1019" customWidth="1"/>
    <col min="13831" max="13831" width="2.50390625" style="1019" customWidth="1"/>
    <col min="13832" max="13832" width="2.375" style="1019" customWidth="1"/>
    <col min="13833" max="13833" width="9.50390625" style="1019" customWidth="1"/>
    <col min="13834" max="13834" width="12.50390625" style="1019" customWidth="1"/>
    <col min="13835" max="13835" width="0.5" style="1019" customWidth="1"/>
    <col min="13836" max="13836" width="2.375" style="1019" customWidth="1"/>
    <col min="13837" max="13837" width="3.125" style="1019" customWidth="1"/>
    <col min="13838" max="13838" width="4.125" style="1019" customWidth="1"/>
    <col min="13839" max="13839" width="3.625" style="1019" customWidth="1"/>
    <col min="13840" max="13840" width="10.375" style="1019" customWidth="1"/>
    <col min="13841" max="13841" width="5.625" style="1019" customWidth="1"/>
    <col min="13842" max="13842" width="13.875" style="1019" customWidth="1"/>
    <col min="13843" max="13843" width="1.00390625" style="1019" customWidth="1"/>
    <col min="13844" max="14080" width="8.125" style="1019" customWidth="1"/>
    <col min="14081" max="14081" width="2.375" style="1019" customWidth="1"/>
    <col min="14082" max="14082" width="1.875" style="1019" customWidth="1"/>
    <col min="14083" max="14083" width="3.00390625" style="1019" customWidth="1"/>
    <col min="14084" max="14084" width="9.125" style="1019" customWidth="1"/>
    <col min="14085" max="14085" width="11.50390625" style="1019" customWidth="1"/>
    <col min="14086" max="14086" width="0.37109375" style="1019" customWidth="1"/>
    <col min="14087" max="14087" width="2.50390625" style="1019" customWidth="1"/>
    <col min="14088" max="14088" width="2.375" style="1019" customWidth="1"/>
    <col min="14089" max="14089" width="9.50390625" style="1019" customWidth="1"/>
    <col min="14090" max="14090" width="12.50390625" style="1019" customWidth="1"/>
    <col min="14091" max="14091" width="0.5" style="1019" customWidth="1"/>
    <col min="14092" max="14092" width="2.375" style="1019" customWidth="1"/>
    <col min="14093" max="14093" width="3.125" style="1019" customWidth="1"/>
    <col min="14094" max="14094" width="4.125" style="1019" customWidth="1"/>
    <col min="14095" max="14095" width="3.625" style="1019" customWidth="1"/>
    <col min="14096" max="14096" width="10.375" style="1019" customWidth="1"/>
    <col min="14097" max="14097" width="5.625" style="1019" customWidth="1"/>
    <col min="14098" max="14098" width="13.875" style="1019" customWidth="1"/>
    <col min="14099" max="14099" width="1.00390625" style="1019" customWidth="1"/>
    <col min="14100" max="14336" width="8.125" style="1019" customWidth="1"/>
    <col min="14337" max="14337" width="2.375" style="1019" customWidth="1"/>
    <col min="14338" max="14338" width="1.875" style="1019" customWidth="1"/>
    <col min="14339" max="14339" width="3.00390625" style="1019" customWidth="1"/>
    <col min="14340" max="14340" width="9.125" style="1019" customWidth="1"/>
    <col min="14341" max="14341" width="11.50390625" style="1019" customWidth="1"/>
    <col min="14342" max="14342" width="0.37109375" style="1019" customWidth="1"/>
    <col min="14343" max="14343" width="2.50390625" style="1019" customWidth="1"/>
    <col min="14344" max="14344" width="2.375" style="1019" customWidth="1"/>
    <col min="14345" max="14345" width="9.50390625" style="1019" customWidth="1"/>
    <col min="14346" max="14346" width="12.50390625" style="1019" customWidth="1"/>
    <col min="14347" max="14347" width="0.5" style="1019" customWidth="1"/>
    <col min="14348" max="14348" width="2.375" style="1019" customWidth="1"/>
    <col min="14349" max="14349" width="3.125" style="1019" customWidth="1"/>
    <col min="14350" max="14350" width="4.125" style="1019" customWidth="1"/>
    <col min="14351" max="14351" width="3.625" style="1019" customWidth="1"/>
    <col min="14352" max="14352" width="10.375" style="1019" customWidth="1"/>
    <col min="14353" max="14353" width="5.625" style="1019" customWidth="1"/>
    <col min="14354" max="14354" width="13.875" style="1019" customWidth="1"/>
    <col min="14355" max="14355" width="1.00390625" style="1019" customWidth="1"/>
    <col min="14356" max="14592" width="8.125" style="1019" customWidth="1"/>
    <col min="14593" max="14593" width="2.375" style="1019" customWidth="1"/>
    <col min="14594" max="14594" width="1.875" style="1019" customWidth="1"/>
    <col min="14595" max="14595" width="3.00390625" style="1019" customWidth="1"/>
    <col min="14596" max="14596" width="9.125" style="1019" customWidth="1"/>
    <col min="14597" max="14597" width="11.50390625" style="1019" customWidth="1"/>
    <col min="14598" max="14598" width="0.37109375" style="1019" customWidth="1"/>
    <col min="14599" max="14599" width="2.50390625" style="1019" customWidth="1"/>
    <col min="14600" max="14600" width="2.375" style="1019" customWidth="1"/>
    <col min="14601" max="14601" width="9.50390625" style="1019" customWidth="1"/>
    <col min="14602" max="14602" width="12.50390625" style="1019" customWidth="1"/>
    <col min="14603" max="14603" width="0.5" style="1019" customWidth="1"/>
    <col min="14604" max="14604" width="2.375" style="1019" customWidth="1"/>
    <col min="14605" max="14605" width="3.125" style="1019" customWidth="1"/>
    <col min="14606" max="14606" width="4.125" style="1019" customWidth="1"/>
    <col min="14607" max="14607" width="3.625" style="1019" customWidth="1"/>
    <col min="14608" max="14608" width="10.375" style="1019" customWidth="1"/>
    <col min="14609" max="14609" width="5.625" style="1019" customWidth="1"/>
    <col min="14610" max="14610" width="13.875" style="1019" customWidth="1"/>
    <col min="14611" max="14611" width="1.00390625" style="1019" customWidth="1"/>
    <col min="14612" max="14848" width="8.125" style="1019" customWidth="1"/>
    <col min="14849" max="14849" width="2.375" style="1019" customWidth="1"/>
    <col min="14850" max="14850" width="1.875" style="1019" customWidth="1"/>
    <col min="14851" max="14851" width="3.00390625" style="1019" customWidth="1"/>
    <col min="14852" max="14852" width="9.125" style="1019" customWidth="1"/>
    <col min="14853" max="14853" width="11.50390625" style="1019" customWidth="1"/>
    <col min="14854" max="14854" width="0.37109375" style="1019" customWidth="1"/>
    <col min="14855" max="14855" width="2.50390625" style="1019" customWidth="1"/>
    <col min="14856" max="14856" width="2.375" style="1019" customWidth="1"/>
    <col min="14857" max="14857" width="9.50390625" style="1019" customWidth="1"/>
    <col min="14858" max="14858" width="12.50390625" style="1019" customWidth="1"/>
    <col min="14859" max="14859" width="0.5" style="1019" customWidth="1"/>
    <col min="14860" max="14860" width="2.375" style="1019" customWidth="1"/>
    <col min="14861" max="14861" width="3.125" style="1019" customWidth="1"/>
    <col min="14862" max="14862" width="4.125" style="1019" customWidth="1"/>
    <col min="14863" max="14863" width="3.625" style="1019" customWidth="1"/>
    <col min="14864" max="14864" width="10.375" style="1019" customWidth="1"/>
    <col min="14865" max="14865" width="5.625" style="1019" customWidth="1"/>
    <col min="14866" max="14866" width="13.875" style="1019" customWidth="1"/>
    <col min="14867" max="14867" width="1.00390625" style="1019" customWidth="1"/>
    <col min="14868" max="15104" width="8.125" style="1019" customWidth="1"/>
    <col min="15105" max="15105" width="2.375" style="1019" customWidth="1"/>
    <col min="15106" max="15106" width="1.875" style="1019" customWidth="1"/>
    <col min="15107" max="15107" width="3.00390625" style="1019" customWidth="1"/>
    <col min="15108" max="15108" width="9.125" style="1019" customWidth="1"/>
    <col min="15109" max="15109" width="11.50390625" style="1019" customWidth="1"/>
    <col min="15110" max="15110" width="0.37109375" style="1019" customWidth="1"/>
    <col min="15111" max="15111" width="2.50390625" style="1019" customWidth="1"/>
    <col min="15112" max="15112" width="2.375" style="1019" customWidth="1"/>
    <col min="15113" max="15113" width="9.50390625" style="1019" customWidth="1"/>
    <col min="15114" max="15114" width="12.50390625" style="1019" customWidth="1"/>
    <col min="15115" max="15115" width="0.5" style="1019" customWidth="1"/>
    <col min="15116" max="15116" width="2.375" style="1019" customWidth="1"/>
    <col min="15117" max="15117" width="3.125" style="1019" customWidth="1"/>
    <col min="15118" max="15118" width="4.125" style="1019" customWidth="1"/>
    <col min="15119" max="15119" width="3.625" style="1019" customWidth="1"/>
    <col min="15120" max="15120" width="10.375" style="1019" customWidth="1"/>
    <col min="15121" max="15121" width="5.625" style="1019" customWidth="1"/>
    <col min="15122" max="15122" width="13.875" style="1019" customWidth="1"/>
    <col min="15123" max="15123" width="1.00390625" style="1019" customWidth="1"/>
    <col min="15124" max="15360" width="8.125" style="1019" customWidth="1"/>
    <col min="15361" max="15361" width="2.375" style="1019" customWidth="1"/>
    <col min="15362" max="15362" width="1.875" style="1019" customWidth="1"/>
    <col min="15363" max="15363" width="3.00390625" style="1019" customWidth="1"/>
    <col min="15364" max="15364" width="9.125" style="1019" customWidth="1"/>
    <col min="15365" max="15365" width="11.50390625" style="1019" customWidth="1"/>
    <col min="15366" max="15366" width="0.37109375" style="1019" customWidth="1"/>
    <col min="15367" max="15367" width="2.50390625" style="1019" customWidth="1"/>
    <col min="15368" max="15368" width="2.375" style="1019" customWidth="1"/>
    <col min="15369" max="15369" width="9.50390625" style="1019" customWidth="1"/>
    <col min="15370" max="15370" width="12.50390625" style="1019" customWidth="1"/>
    <col min="15371" max="15371" width="0.5" style="1019" customWidth="1"/>
    <col min="15372" max="15372" width="2.375" style="1019" customWidth="1"/>
    <col min="15373" max="15373" width="3.125" style="1019" customWidth="1"/>
    <col min="15374" max="15374" width="4.125" style="1019" customWidth="1"/>
    <col min="15375" max="15375" width="3.625" style="1019" customWidth="1"/>
    <col min="15376" max="15376" width="10.375" style="1019" customWidth="1"/>
    <col min="15377" max="15377" width="5.625" style="1019" customWidth="1"/>
    <col min="15378" max="15378" width="13.875" style="1019" customWidth="1"/>
    <col min="15379" max="15379" width="1.00390625" style="1019" customWidth="1"/>
    <col min="15380" max="15616" width="8.125" style="1019" customWidth="1"/>
    <col min="15617" max="15617" width="2.375" style="1019" customWidth="1"/>
    <col min="15618" max="15618" width="1.875" style="1019" customWidth="1"/>
    <col min="15619" max="15619" width="3.00390625" style="1019" customWidth="1"/>
    <col min="15620" max="15620" width="9.125" style="1019" customWidth="1"/>
    <col min="15621" max="15621" width="11.50390625" style="1019" customWidth="1"/>
    <col min="15622" max="15622" width="0.37109375" style="1019" customWidth="1"/>
    <col min="15623" max="15623" width="2.50390625" style="1019" customWidth="1"/>
    <col min="15624" max="15624" width="2.375" style="1019" customWidth="1"/>
    <col min="15625" max="15625" width="9.50390625" style="1019" customWidth="1"/>
    <col min="15626" max="15626" width="12.50390625" style="1019" customWidth="1"/>
    <col min="15627" max="15627" width="0.5" style="1019" customWidth="1"/>
    <col min="15628" max="15628" width="2.375" style="1019" customWidth="1"/>
    <col min="15629" max="15629" width="3.125" style="1019" customWidth="1"/>
    <col min="15630" max="15630" width="4.125" style="1019" customWidth="1"/>
    <col min="15631" max="15631" width="3.625" style="1019" customWidth="1"/>
    <col min="15632" max="15632" width="10.375" style="1019" customWidth="1"/>
    <col min="15633" max="15633" width="5.625" style="1019" customWidth="1"/>
    <col min="15634" max="15634" width="13.875" style="1019" customWidth="1"/>
    <col min="15635" max="15635" width="1.00390625" style="1019" customWidth="1"/>
    <col min="15636" max="15872" width="8.125" style="1019" customWidth="1"/>
    <col min="15873" max="15873" width="2.375" style="1019" customWidth="1"/>
    <col min="15874" max="15874" width="1.875" style="1019" customWidth="1"/>
    <col min="15875" max="15875" width="3.00390625" style="1019" customWidth="1"/>
    <col min="15876" max="15876" width="9.125" style="1019" customWidth="1"/>
    <col min="15877" max="15877" width="11.50390625" style="1019" customWidth="1"/>
    <col min="15878" max="15878" width="0.37109375" style="1019" customWidth="1"/>
    <col min="15879" max="15879" width="2.50390625" style="1019" customWidth="1"/>
    <col min="15880" max="15880" width="2.375" style="1019" customWidth="1"/>
    <col min="15881" max="15881" width="9.50390625" style="1019" customWidth="1"/>
    <col min="15882" max="15882" width="12.50390625" style="1019" customWidth="1"/>
    <col min="15883" max="15883" width="0.5" style="1019" customWidth="1"/>
    <col min="15884" max="15884" width="2.375" style="1019" customWidth="1"/>
    <col min="15885" max="15885" width="3.125" style="1019" customWidth="1"/>
    <col min="15886" max="15886" width="4.125" style="1019" customWidth="1"/>
    <col min="15887" max="15887" width="3.625" style="1019" customWidth="1"/>
    <col min="15888" max="15888" width="10.375" style="1019" customWidth="1"/>
    <col min="15889" max="15889" width="5.625" style="1019" customWidth="1"/>
    <col min="15890" max="15890" width="13.875" style="1019" customWidth="1"/>
    <col min="15891" max="15891" width="1.00390625" style="1019" customWidth="1"/>
    <col min="15892" max="16128" width="8.125" style="1019" customWidth="1"/>
    <col min="16129" max="16129" width="2.375" style="1019" customWidth="1"/>
    <col min="16130" max="16130" width="1.875" style="1019" customWidth="1"/>
    <col min="16131" max="16131" width="3.00390625" style="1019" customWidth="1"/>
    <col min="16132" max="16132" width="9.125" style="1019" customWidth="1"/>
    <col min="16133" max="16133" width="11.50390625" style="1019" customWidth="1"/>
    <col min="16134" max="16134" width="0.37109375" style="1019" customWidth="1"/>
    <col min="16135" max="16135" width="2.50390625" style="1019" customWidth="1"/>
    <col min="16136" max="16136" width="2.375" style="1019" customWidth="1"/>
    <col min="16137" max="16137" width="9.50390625" style="1019" customWidth="1"/>
    <col min="16138" max="16138" width="12.50390625" style="1019" customWidth="1"/>
    <col min="16139" max="16139" width="0.5" style="1019" customWidth="1"/>
    <col min="16140" max="16140" width="2.375" style="1019" customWidth="1"/>
    <col min="16141" max="16141" width="3.125" style="1019" customWidth="1"/>
    <col min="16142" max="16142" width="4.125" style="1019" customWidth="1"/>
    <col min="16143" max="16143" width="3.625" style="1019" customWidth="1"/>
    <col min="16144" max="16144" width="10.375" style="1019" customWidth="1"/>
    <col min="16145" max="16145" width="5.625" style="1019" customWidth="1"/>
    <col min="16146" max="16146" width="13.875" style="1019" customWidth="1"/>
    <col min="16147" max="16147" width="1.00390625" style="1019" customWidth="1"/>
    <col min="16148" max="16384" width="8.125" style="1019" customWidth="1"/>
  </cols>
  <sheetData>
    <row r="1" spans="1:19" s="936" customFormat="1" ht="14.25" customHeight="1">
      <c r="A1" s="933"/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5"/>
    </row>
    <row r="2" spans="1:19" s="936" customFormat="1" ht="21" customHeight="1">
      <c r="A2" s="937"/>
      <c r="B2" s="938"/>
      <c r="C2" s="938"/>
      <c r="D2" s="938"/>
      <c r="E2" s="938"/>
      <c r="F2" s="938"/>
      <c r="G2" s="939" t="s">
        <v>1806</v>
      </c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40"/>
    </row>
    <row r="3" spans="1:19" s="936" customFormat="1" ht="14.25" customHeight="1">
      <c r="A3" s="941"/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38"/>
      <c r="P3" s="942"/>
      <c r="Q3" s="942"/>
      <c r="R3" s="942"/>
      <c r="S3" s="943"/>
    </row>
    <row r="4" spans="1:19" s="936" customFormat="1" ht="9" customHeight="1" thickBot="1">
      <c r="A4" s="944"/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6"/>
    </row>
    <row r="5" spans="1:19" s="936" customFormat="1" ht="24.75" customHeight="1">
      <c r="A5" s="947"/>
      <c r="B5" s="948" t="s">
        <v>281</v>
      </c>
      <c r="C5" s="948"/>
      <c r="D5" s="948"/>
      <c r="E5" s="1690" t="s">
        <v>1807</v>
      </c>
      <c r="F5" s="1691"/>
      <c r="G5" s="1691"/>
      <c r="H5" s="1691"/>
      <c r="I5" s="1691"/>
      <c r="J5" s="1691"/>
      <c r="K5" s="1691"/>
      <c r="L5" s="1692"/>
      <c r="M5" s="948"/>
      <c r="N5" s="948"/>
      <c r="O5" s="1680" t="s">
        <v>1808</v>
      </c>
      <c r="P5" s="1680"/>
      <c r="Q5" s="949"/>
      <c r="R5" s="950"/>
      <c r="S5" s="951"/>
    </row>
    <row r="6" spans="1:19" s="936" customFormat="1" ht="24.75" customHeight="1">
      <c r="A6" s="947"/>
      <c r="B6" s="948" t="s">
        <v>280</v>
      </c>
      <c r="C6" s="948"/>
      <c r="D6" s="948"/>
      <c r="E6" s="1693" t="s">
        <v>1809</v>
      </c>
      <c r="F6" s="1694"/>
      <c r="G6" s="1694"/>
      <c r="H6" s="1694"/>
      <c r="I6" s="1694"/>
      <c r="J6" s="1694"/>
      <c r="K6" s="1694"/>
      <c r="L6" s="1695"/>
      <c r="M6" s="948"/>
      <c r="N6" s="948"/>
      <c r="O6" s="1680" t="s">
        <v>1810</v>
      </c>
      <c r="P6" s="1680"/>
      <c r="Q6" s="952"/>
      <c r="R6" s="953"/>
      <c r="S6" s="951"/>
    </row>
    <row r="7" spans="1:19" s="936" customFormat="1" ht="24.75" customHeight="1" thickBot="1">
      <c r="A7" s="947"/>
      <c r="B7" s="948"/>
      <c r="C7" s="948"/>
      <c r="D7" s="948"/>
      <c r="E7" s="1696" t="s">
        <v>1811</v>
      </c>
      <c r="F7" s="1697"/>
      <c r="G7" s="1697"/>
      <c r="H7" s="1697"/>
      <c r="I7" s="1697"/>
      <c r="J7" s="1697"/>
      <c r="K7" s="1697"/>
      <c r="L7" s="1698"/>
      <c r="M7" s="948"/>
      <c r="N7" s="948"/>
      <c r="O7" s="1680" t="s">
        <v>1812</v>
      </c>
      <c r="P7" s="1680"/>
      <c r="Q7" s="954" t="s">
        <v>1813</v>
      </c>
      <c r="R7" s="955"/>
      <c r="S7" s="951"/>
    </row>
    <row r="8" spans="1:19" s="936" customFormat="1" ht="24.75" customHeight="1" thickBot="1">
      <c r="A8" s="947"/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1680" t="s">
        <v>1814</v>
      </c>
      <c r="P8" s="1680"/>
      <c r="Q8" s="948" t="s">
        <v>1815</v>
      </c>
      <c r="R8" s="948"/>
      <c r="S8" s="951"/>
    </row>
    <row r="9" spans="1:19" s="936" customFormat="1" ht="24.75" customHeight="1" thickBot="1">
      <c r="A9" s="947"/>
      <c r="B9" s="948" t="s">
        <v>114</v>
      </c>
      <c r="C9" s="948"/>
      <c r="D9" s="948"/>
      <c r="E9" s="1681" t="s">
        <v>1811</v>
      </c>
      <c r="F9" s="1682"/>
      <c r="G9" s="1682"/>
      <c r="H9" s="1682"/>
      <c r="I9" s="1682"/>
      <c r="J9" s="1682"/>
      <c r="K9" s="1682"/>
      <c r="L9" s="1683"/>
      <c r="M9" s="948"/>
      <c r="N9" s="948"/>
      <c r="O9" s="1676"/>
      <c r="P9" s="1677"/>
      <c r="Q9" s="956"/>
      <c r="R9" s="957"/>
      <c r="S9" s="951"/>
    </row>
    <row r="10" spans="1:19" s="936" customFormat="1" ht="24.75" customHeight="1" thickBot="1">
      <c r="A10" s="947"/>
      <c r="B10" s="948" t="s">
        <v>117</v>
      </c>
      <c r="C10" s="948"/>
      <c r="D10" s="948"/>
      <c r="E10" s="1684" t="s">
        <v>1816</v>
      </c>
      <c r="F10" s="1685"/>
      <c r="G10" s="1685"/>
      <c r="H10" s="1685"/>
      <c r="I10" s="1685"/>
      <c r="J10" s="1685"/>
      <c r="K10" s="1685"/>
      <c r="L10" s="1686"/>
      <c r="M10" s="948"/>
      <c r="N10" s="948"/>
      <c r="O10" s="1676"/>
      <c r="P10" s="1677"/>
      <c r="Q10" s="956"/>
      <c r="R10" s="957"/>
      <c r="S10" s="951"/>
    </row>
    <row r="11" spans="1:19" s="936" customFormat="1" ht="24.75" customHeight="1" thickBot="1">
      <c r="A11" s="947"/>
      <c r="B11" s="948" t="s">
        <v>1817</v>
      </c>
      <c r="C11" s="948"/>
      <c r="D11" s="948"/>
      <c r="E11" s="1687" t="s">
        <v>1811</v>
      </c>
      <c r="F11" s="1688"/>
      <c r="G11" s="1688"/>
      <c r="H11" s="1688"/>
      <c r="I11" s="1688"/>
      <c r="J11" s="1688"/>
      <c r="K11" s="1688"/>
      <c r="L11" s="1689"/>
      <c r="M11" s="948"/>
      <c r="N11" s="948"/>
      <c r="O11" s="1676"/>
      <c r="P11" s="1677"/>
      <c r="Q11" s="956"/>
      <c r="R11" s="957"/>
      <c r="S11" s="951"/>
    </row>
    <row r="12" spans="1:19" s="936" customFormat="1" ht="18.75" customHeight="1">
      <c r="A12" s="947"/>
      <c r="B12" s="948"/>
      <c r="C12" s="948"/>
      <c r="D12" s="948"/>
      <c r="E12" s="958"/>
      <c r="F12" s="948"/>
      <c r="G12" s="948"/>
      <c r="H12" s="948"/>
      <c r="I12" s="948"/>
      <c r="J12" s="948"/>
      <c r="K12" s="948"/>
      <c r="L12" s="948"/>
      <c r="M12" s="948"/>
      <c r="N12" s="948"/>
      <c r="O12" s="958"/>
      <c r="P12" s="958"/>
      <c r="Q12" s="958"/>
      <c r="R12" s="948"/>
      <c r="S12" s="951"/>
    </row>
    <row r="13" spans="1:19" s="936" customFormat="1" ht="18.75" customHeight="1" thickBot="1">
      <c r="A13" s="947"/>
      <c r="B13" s="948"/>
      <c r="C13" s="948"/>
      <c r="D13" s="948"/>
      <c r="E13" s="958" t="s">
        <v>1818</v>
      </c>
      <c r="F13" s="948"/>
      <c r="G13" s="948" t="s">
        <v>1819</v>
      </c>
      <c r="H13" s="948"/>
      <c r="I13" s="948"/>
      <c r="J13" s="948"/>
      <c r="K13" s="948"/>
      <c r="L13" s="948"/>
      <c r="M13" s="948"/>
      <c r="N13" s="948"/>
      <c r="O13" s="1675" t="s">
        <v>1820</v>
      </c>
      <c r="P13" s="1675"/>
      <c r="Q13" s="958"/>
      <c r="R13" s="959"/>
      <c r="S13" s="951"/>
    </row>
    <row r="14" spans="1:19" s="936" customFormat="1" ht="18.75" customHeight="1" thickBot="1">
      <c r="A14" s="947"/>
      <c r="B14" s="948"/>
      <c r="C14" s="948"/>
      <c r="D14" s="948"/>
      <c r="E14" s="960"/>
      <c r="F14" s="948"/>
      <c r="G14" s="956"/>
      <c r="H14" s="961"/>
      <c r="I14" s="962"/>
      <c r="J14" s="948"/>
      <c r="K14" s="948"/>
      <c r="L14" s="948"/>
      <c r="M14" s="948"/>
      <c r="N14" s="948"/>
      <c r="O14" s="1676" t="s">
        <v>1821</v>
      </c>
      <c r="P14" s="1677"/>
      <c r="Q14" s="958"/>
      <c r="R14" s="963"/>
      <c r="S14" s="951"/>
    </row>
    <row r="15" spans="1:19" s="936" customFormat="1" ht="9" customHeight="1">
      <c r="A15" s="964"/>
      <c r="B15" s="965"/>
      <c r="C15" s="965"/>
      <c r="D15" s="965"/>
      <c r="E15" s="965"/>
      <c r="F15" s="965"/>
      <c r="G15" s="965"/>
      <c r="H15" s="965"/>
      <c r="I15" s="965"/>
      <c r="J15" s="965"/>
      <c r="K15" s="965"/>
      <c r="L15" s="965"/>
      <c r="M15" s="965"/>
      <c r="N15" s="965"/>
      <c r="O15" s="948"/>
      <c r="P15" s="965"/>
      <c r="Q15" s="965"/>
      <c r="R15" s="965"/>
      <c r="S15" s="966"/>
    </row>
    <row r="16" spans="1:19" s="936" customFormat="1" ht="20.25" customHeight="1">
      <c r="A16" s="967"/>
      <c r="B16" s="968"/>
      <c r="C16" s="968"/>
      <c r="D16" s="968"/>
      <c r="E16" s="969" t="s">
        <v>1822</v>
      </c>
      <c r="F16" s="968"/>
      <c r="G16" s="968"/>
      <c r="H16" s="968"/>
      <c r="I16" s="968"/>
      <c r="J16" s="968"/>
      <c r="K16" s="968"/>
      <c r="L16" s="968"/>
      <c r="M16" s="968"/>
      <c r="N16" s="968"/>
      <c r="O16" s="968"/>
      <c r="P16" s="968"/>
      <c r="Q16" s="968"/>
      <c r="R16" s="968"/>
      <c r="S16" s="970"/>
    </row>
    <row r="17" spans="1:19" s="936" customFormat="1" ht="21.75" customHeight="1">
      <c r="A17" s="971" t="s">
        <v>1823</v>
      </c>
      <c r="B17" s="972"/>
      <c r="C17" s="972"/>
      <c r="D17" s="973"/>
      <c r="E17" s="974" t="s">
        <v>1824</v>
      </c>
      <c r="F17" s="973"/>
      <c r="G17" s="974" t="s">
        <v>1825</v>
      </c>
      <c r="H17" s="972"/>
      <c r="I17" s="973"/>
      <c r="J17" s="974" t="s">
        <v>1826</v>
      </c>
      <c r="K17" s="972"/>
      <c r="L17" s="974" t="s">
        <v>1827</v>
      </c>
      <c r="M17" s="972"/>
      <c r="N17" s="972"/>
      <c r="O17" s="975"/>
      <c r="P17" s="973"/>
      <c r="Q17" s="974" t="s">
        <v>1828</v>
      </c>
      <c r="R17" s="972"/>
      <c r="S17" s="976"/>
    </row>
    <row r="18" spans="1:19" s="936" customFormat="1" ht="19.5" customHeight="1">
      <c r="A18" s="977"/>
      <c r="B18" s="978"/>
      <c r="C18" s="978"/>
      <c r="D18" s="979">
        <v>0</v>
      </c>
      <c r="E18" s="980">
        <v>0</v>
      </c>
      <c r="F18" s="981"/>
      <c r="G18" s="982"/>
      <c r="H18" s="978"/>
      <c r="I18" s="979">
        <v>0</v>
      </c>
      <c r="J18" s="980">
        <v>0</v>
      </c>
      <c r="K18" s="983"/>
      <c r="L18" s="982"/>
      <c r="M18" s="978"/>
      <c r="N18" s="978"/>
      <c r="O18" s="984"/>
      <c r="P18" s="979">
        <v>0</v>
      </c>
      <c r="Q18" s="982"/>
      <c r="R18" s="985">
        <v>0</v>
      </c>
      <c r="S18" s="986"/>
    </row>
    <row r="19" spans="1:19" s="936" customFormat="1" ht="20.25" customHeight="1">
      <c r="A19" s="967"/>
      <c r="B19" s="968"/>
      <c r="C19" s="968"/>
      <c r="D19" s="968"/>
      <c r="E19" s="969" t="s">
        <v>1829</v>
      </c>
      <c r="F19" s="968"/>
      <c r="G19" s="968"/>
      <c r="H19" s="968"/>
      <c r="I19" s="968"/>
      <c r="J19" s="987" t="s">
        <v>1830</v>
      </c>
      <c r="K19" s="968"/>
      <c r="L19" s="968"/>
      <c r="M19" s="968"/>
      <c r="N19" s="968"/>
      <c r="O19" s="968"/>
      <c r="P19" s="968"/>
      <c r="Q19" s="968"/>
      <c r="R19" s="968"/>
      <c r="S19" s="970"/>
    </row>
    <row r="20" spans="1:19" s="936" customFormat="1" ht="19.5" customHeight="1">
      <c r="A20" s="988" t="s">
        <v>1831</v>
      </c>
      <c r="B20" s="989"/>
      <c r="C20" s="990" t="s">
        <v>1832</v>
      </c>
      <c r="D20" s="991"/>
      <c r="E20" s="991"/>
      <c r="F20" s="992"/>
      <c r="G20" s="988" t="s">
        <v>1833</v>
      </c>
      <c r="H20" s="993"/>
      <c r="I20" s="990" t="s">
        <v>1834</v>
      </c>
      <c r="J20" s="991"/>
      <c r="K20" s="991"/>
      <c r="L20" s="988" t="s">
        <v>1835</v>
      </c>
      <c r="M20" s="993"/>
      <c r="N20" s="990" t="s">
        <v>1836</v>
      </c>
      <c r="O20" s="994"/>
      <c r="P20" s="991"/>
      <c r="Q20" s="991"/>
      <c r="R20" s="991"/>
      <c r="S20" s="992"/>
    </row>
    <row r="21" spans="1:19" s="936" customFormat="1" ht="19.5" customHeight="1">
      <c r="A21" s="995" t="s">
        <v>141</v>
      </c>
      <c r="B21" s="996" t="s">
        <v>74</v>
      </c>
      <c r="C21" s="997"/>
      <c r="D21" s="998" t="s">
        <v>1837</v>
      </c>
      <c r="E21" s="1020">
        <v>0</v>
      </c>
      <c r="F21" s="1021"/>
      <c r="G21" s="1022" t="s">
        <v>458</v>
      </c>
      <c r="H21" s="1023" t="s">
        <v>1838</v>
      </c>
      <c r="I21" s="1024"/>
      <c r="J21" s="1025">
        <v>0</v>
      </c>
      <c r="K21" s="1026"/>
      <c r="L21" s="1022" t="s">
        <v>1491</v>
      </c>
      <c r="M21" s="1027" t="s">
        <v>1839</v>
      </c>
      <c r="N21" s="1028"/>
      <c r="O21" s="1028"/>
      <c r="P21" s="1028"/>
      <c r="Q21" s="1029"/>
      <c r="R21" s="1020">
        <v>0</v>
      </c>
      <c r="S21" s="999"/>
    </row>
    <row r="22" spans="1:19" s="936" customFormat="1" ht="19.5" customHeight="1">
      <c r="A22" s="995" t="s">
        <v>183</v>
      </c>
      <c r="B22" s="1002"/>
      <c r="C22" s="1003"/>
      <c r="D22" s="998" t="s">
        <v>71</v>
      </c>
      <c r="E22" s="1020">
        <v>0</v>
      </c>
      <c r="F22" s="1021"/>
      <c r="G22" s="1022" t="s">
        <v>26</v>
      </c>
      <c r="H22" s="1030" t="s">
        <v>1840</v>
      </c>
      <c r="I22" s="1024"/>
      <c r="J22" s="1025">
        <v>0</v>
      </c>
      <c r="K22" s="1026"/>
      <c r="L22" s="1022" t="s">
        <v>1494</v>
      </c>
      <c r="M22" s="1027" t="s">
        <v>1841</v>
      </c>
      <c r="N22" s="1028"/>
      <c r="O22" s="1030"/>
      <c r="P22" s="1028"/>
      <c r="Q22" s="1029"/>
      <c r="R22" s="1020">
        <v>0</v>
      </c>
      <c r="S22" s="999"/>
    </row>
    <row r="23" spans="1:19" s="936" customFormat="1" ht="19.5" customHeight="1">
      <c r="A23" s="995" t="s">
        <v>188</v>
      </c>
      <c r="B23" s="996" t="s">
        <v>73</v>
      </c>
      <c r="C23" s="997"/>
      <c r="D23" s="998" t="s">
        <v>1837</v>
      </c>
      <c r="E23" s="1020">
        <v>0</v>
      </c>
      <c r="F23" s="1021"/>
      <c r="G23" s="1022" t="s">
        <v>177</v>
      </c>
      <c r="H23" s="1023" t="s">
        <v>1842</v>
      </c>
      <c r="I23" s="1024"/>
      <c r="J23" s="1025">
        <v>0</v>
      </c>
      <c r="K23" s="1026"/>
      <c r="L23" s="1022" t="s">
        <v>1843</v>
      </c>
      <c r="M23" s="1027" t="s">
        <v>1844</v>
      </c>
      <c r="N23" s="1028"/>
      <c r="O23" s="1028"/>
      <c r="P23" s="1028"/>
      <c r="Q23" s="1029"/>
      <c r="R23" s="1020">
        <v>0</v>
      </c>
      <c r="S23" s="999"/>
    </row>
    <row r="24" spans="1:19" s="936" customFormat="1" ht="19.5" customHeight="1">
      <c r="A24" s="995" t="s">
        <v>463</v>
      </c>
      <c r="B24" s="1002"/>
      <c r="C24" s="1003"/>
      <c r="D24" s="998" t="s">
        <v>71</v>
      </c>
      <c r="E24" s="1020">
        <v>0</v>
      </c>
      <c r="F24" s="1021"/>
      <c r="G24" s="1022" t="s">
        <v>27</v>
      </c>
      <c r="H24" s="1023"/>
      <c r="I24" s="1024"/>
      <c r="J24" s="1025">
        <v>0</v>
      </c>
      <c r="K24" s="1026"/>
      <c r="L24" s="1022" t="s">
        <v>1845</v>
      </c>
      <c r="M24" s="1027" t="s">
        <v>1846</v>
      </c>
      <c r="N24" s="1028"/>
      <c r="O24" s="1030"/>
      <c r="P24" s="1028"/>
      <c r="Q24" s="1029"/>
      <c r="R24" s="1020">
        <v>0</v>
      </c>
      <c r="S24" s="999"/>
    </row>
    <row r="25" spans="1:19" s="936" customFormat="1" ht="19.5" customHeight="1">
      <c r="A25" s="995" t="s">
        <v>462</v>
      </c>
      <c r="B25" s="996" t="s">
        <v>1847</v>
      </c>
      <c r="C25" s="997"/>
      <c r="D25" s="998" t="s">
        <v>1837</v>
      </c>
      <c r="E25" s="1020">
        <v>0</v>
      </c>
      <c r="F25" s="1021"/>
      <c r="G25" s="1031"/>
      <c r="H25" s="1028"/>
      <c r="I25" s="1024"/>
      <c r="J25" s="1025"/>
      <c r="K25" s="1026"/>
      <c r="L25" s="1022" t="s">
        <v>1848</v>
      </c>
      <c r="M25" s="1027" t="s">
        <v>1849</v>
      </c>
      <c r="N25" s="1028"/>
      <c r="O25" s="1028"/>
      <c r="P25" s="1028"/>
      <c r="Q25" s="1029"/>
      <c r="R25" s="1020">
        <v>0</v>
      </c>
      <c r="S25" s="999"/>
    </row>
    <row r="26" spans="1:19" s="936" customFormat="1" ht="19.5" customHeight="1">
      <c r="A26" s="995" t="s">
        <v>461</v>
      </c>
      <c r="B26" s="1004"/>
      <c r="C26" s="1005"/>
      <c r="D26" s="998" t="s">
        <v>71</v>
      </c>
      <c r="E26" s="1020">
        <v>0</v>
      </c>
      <c r="F26" s="1021"/>
      <c r="G26" s="1031"/>
      <c r="H26" s="1028"/>
      <c r="I26" s="1024"/>
      <c r="J26" s="1025"/>
      <c r="K26" s="1026"/>
      <c r="L26" s="1022" t="s">
        <v>1850</v>
      </c>
      <c r="M26" s="1023" t="s">
        <v>1851</v>
      </c>
      <c r="N26" s="1028"/>
      <c r="O26" s="1030"/>
      <c r="P26" s="1028"/>
      <c r="Q26" s="1024"/>
      <c r="R26" s="1020">
        <v>0</v>
      </c>
      <c r="S26" s="999"/>
    </row>
    <row r="27" spans="1:19" s="936" customFormat="1" ht="19.5" customHeight="1">
      <c r="A27" s="995" t="s">
        <v>460</v>
      </c>
      <c r="B27" s="1002"/>
      <c r="C27" s="975"/>
      <c r="D27" s="998" t="s">
        <v>1852</v>
      </c>
      <c r="E27" s="1032">
        <v>0</v>
      </c>
      <c r="F27" s="1033"/>
      <c r="G27" s="1031"/>
      <c r="H27" s="1028"/>
      <c r="I27" s="1024"/>
      <c r="J27" s="1034"/>
      <c r="K27" s="1035"/>
      <c r="L27" s="1022"/>
      <c r="M27" s="1023"/>
      <c r="N27" s="1028"/>
      <c r="O27" s="1028"/>
      <c r="P27" s="1028"/>
      <c r="Q27" s="1024"/>
      <c r="R27" s="1036"/>
      <c r="S27" s="951"/>
    </row>
    <row r="28" spans="1:19" s="936" customFormat="1" ht="19.5" customHeight="1">
      <c r="A28" s="995" t="s">
        <v>459</v>
      </c>
      <c r="B28" s="1006" t="s">
        <v>1853</v>
      </c>
      <c r="C28" s="1001"/>
      <c r="D28" s="1000"/>
      <c r="E28" s="1037">
        <v>0</v>
      </c>
      <c r="F28" s="1038"/>
      <c r="G28" s="1022" t="s">
        <v>1490</v>
      </c>
      <c r="H28" s="1039" t="s">
        <v>1854</v>
      </c>
      <c r="I28" s="1024"/>
      <c r="J28" s="1040"/>
      <c r="K28" s="1041"/>
      <c r="L28" s="1022" t="s">
        <v>1855</v>
      </c>
      <c r="M28" s="1039" t="s">
        <v>1856</v>
      </c>
      <c r="N28" s="1028"/>
      <c r="O28" s="1042"/>
      <c r="P28" s="1028"/>
      <c r="Q28" s="1024"/>
      <c r="R28" s="1037">
        <f>R21</f>
        <v>0</v>
      </c>
      <c r="S28" s="970"/>
    </row>
    <row r="29" spans="1:19" s="936" customFormat="1" ht="19.5" customHeight="1">
      <c r="A29" s="1007" t="s">
        <v>1857</v>
      </c>
      <c r="B29" s="1008" t="s">
        <v>70</v>
      </c>
      <c r="C29" s="1009"/>
      <c r="D29" s="1010"/>
      <c r="E29" s="1043">
        <v>0</v>
      </c>
      <c r="F29" s="1044"/>
      <c r="G29" s="1045" t="s">
        <v>1858</v>
      </c>
      <c r="H29" s="1046" t="s">
        <v>1859</v>
      </c>
      <c r="I29" s="1047"/>
      <c r="J29" s="1048">
        <v>0</v>
      </c>
      <c r="K29" s="1049"/>
      <c r="L29" s="1045" t="s">
        <v>1860</v>
      </c>
      <c r="M29" s="1046" t="s">
        <v>1861</v>
      </c>
      <c r="N29" s="1050"/>
      <c r="O29" s="1030"/>
      <c r="P29" s="1050"/>
      <c r="Q29" s="1047"/>
      <c r="R29" s="1043">
        <v>0</v>
      </c>
      <c r="S29" s="966"/>
    </row>
    <row r="30" spans="1:19" s="936" customFormat="1" ht="19.5" customHeight="1">
      <c r="A30" s="1011" t="s">
        <v>117</v>
      </c>
      <c r="B30" s="945"/>
      <c r="C30" s="945"/>
      <c r="D30" s="945"/>
      <c r="E30" s="1051"/>
      <c r="F30" s="1052"/>
      <c r="G30" s="1053"/>
      <c r="H30" s="1051"/>
      <c r="I30" s="1051"/>
      <c r="J30" s="1051"/>
      <c r="K30" s="1051"/>
      <c r="L30" s="1054" t="s">
        <v>1862</v>
      </c>
      <c r="M30" s="1055"/>
      <c r="N30" s="1056" t="s">
        <v>1863</v>
      </c>
      <c r="O30" s="1051"/>
      <c r="P30" s="1057"/>
      <c r="Q30" s="1057"/>
      <c r="R30" s="1057"/>
      <c r="S30" s="976"/>
    </row>
    <row r="31" spans="1:19" s="936" customFormat="1" ht="19.5" customHeight="1">
      <c r="A31" s="947"/>
      <c r="B31" s="948"/>
      <c r="C31" s="948"/>
      <c r="D31" s="948"/>
      <c r="E31" s="1030"/>
      <c r="F31" s="1058"/>
      <c r="G31" s="1059"/>
      <c r="H31" s="1030"/>
      <c r="I31" s="1030"/>
      <c r="J31" s="1030"/>
      <c r="K31" s="1030"/>
      <c r="L31" s="1022" t="s">
        <v>1864</v>
      </c>
      <c r="M31" s="1023" t="s">
        <v>1865</v>
      </c>
      <c r="N31" s="1028"/>
      <c r="O31" s="1028"/>
      <c r="P31" s="1028"/>
      <c r="Q31" s="1024"/>
      <c r="R31" s="1037">
        <f>E28+R28</f>
        <v>0</v>
      </c>
      <c r="S31" s="970"/>
    </row>
    <row r="32" spans="1:20" s="936" customFormat="1" ht="19.5" customHeight="1">
      <c r="A32" s="1012" t="s">
        <v>1866</v>
      </c>
      <c r="B32" s="975"/>
      <c r="C32" s="975"/>
      <c r="D32" s="975"/>
      <c r="E32" s="1042"/>
      <c r="F32" s="1060"/>
      <c r="G32" s="1061" t="s">
        <v>1867</v>
      </c>
      <c r="H32" s="1042"/>
      <c r="I32" s="1042"/>
      <c r="J32" s="1042"/>
      <c r="K32" s="1042"/>
      <c r="L32" s="1022" t="s">
        <v>1868</v>
      </c>
      <c r="M32" s="1027" t="s">
        <v>86</v>
      </c>
      <c r="N32" s="1062">
        <v>15</v>
      </c>
      <c r="O32" s="1063" t="s">
        <v>1869</v>
      </c>
      <c r="P32" s="1678">
        <v>0</v>
      </c>
      <c r="Q32" s="1679"/>
      <c r="R32" s="1064">
        <v>0</v>
      </c>
      <c r="S32" s="1013"/>
      <c r="T32" s="1014">
        <v>1.21</v>
      </c>
    </row>
    <row r="33" spans="1:19" s="936" customFormat="1" ht="20.25" customHeight="1" thickBot="1">
      <c r="A33" s="1015" t="s">
        <v>114</v>
      </c>
      <c r="B33" s="1016"/>
      <c r="C33" s="1016"/>
      <c r="D33" s="1016"/>
      <c r="E33" s="1065"/>
      <c r="F33" s="1066"/>
      <c r="G33" s="1067"/>
      <c r="H33" s="1065"/>
      <c r="I33" s="1065"/>
      <c r="J33" s="1065"/>
      <c r="K33" s="1065"/>
      <c r="L33" s="1022" t="s">
        <v>1870</v>
      </c>
      <c r="M33" s="1027" t="s">
        <v>86</v>
      </c>
      <c r="N33" s="1062">
        <v>21</v>
      </c>
      <c r="O33" s="1068" t="s">
        <v>1869</v>
      </c>
      <c r="P33" s="1678">
        <v>2375623.9</v>
      </c>
      <c r="Q33" s="1679"/>
      <c r="R33" s="1020">
        <f>R34-R31</f>
        <v>0</v>
      </c>
      <c r="S33" s="999"/>
    </row>
    <row r="34" spans="1:19" s="936" customFormat="1" ht="20.25" customHeight="1" thickBot="1">
      <c r="A34" s="947"/>
      <c r="B34" s="948"/>
      <c r="C34" s="948"/>
      <c r="D34" s="948"/>
      <c r="E34" s="1030"/>
      <c r="F34" s="1058"/>
      <c r="G34" s="1059"/>
      <c r="H34" s="1030"/>
      <c r="I34" s="1030"/>
      <c r="J34" s="1030"/>
      <c r="K34" s="1030"/>
      <c r="L34" s="1045" t="s">
        <v>1871</v>
      </c>
      <c r="M34" s="1069" t="s">
        <v>1872</v>
      </c>
      <c r="N34" s="1050"/>
      <c r="O34" s="1030"/>
      <c r="P34" s="1050"/>
      <c r="Q34" s="1047"/>
      <c r="R34" s="1070">
        <f>R31*T32</f>
        <v>0</v>
      </c>
      <c r="S34" s="957"/>
    </row>
    <row r="35" spans="1:19" s="936" customFormat="1" ht="19.5" customHeight="1">
      <c r="A35" s="1012" t="s">
        <v>1866</v>
      </c>
      <c r="B35" s="975"/>
      <c r="C35" s="975"/>
      <c r="D35" s="975"/>
      <c r="E35" s="1042"/>
      <c r="F35" s="1060"/>
      <c r="G35" s="1061" t="s">
        <v>1867</v>
      </c>
      <c r="H35" s="1042"/>
      <c r="I35" s="1042"/>
      <c r="J35" s="1042"/>
      <c r="K35" s="1042"/>
      <c r="L35" s="1054" t="s">
        <v>1873</v>
      </c>
      <c r="M35" s="1055"/>
      <c r="N35" s="1056" t="s">
        <v>1874</v>
      </c>
      <c r="O35" s="1051"/>
      <c r="P35" s="1057"/>
      <c r="Q35" s="1057"/>
      <c r="R35" s="1071"/>
      <c r="S35" s="976"/>
    </row>
    <row r="36" spans="1:19" s="936" customFormat="1" ht="20.25" customHeight="1">
      <c r="A36" s="1015" t="s">
        <v>1817</v>
      </c>
      <c r="B36" s="1016"/>
      <c r="C36" s="1016"/>
      <c r="D36" s="1016"/>
      <c r="E36" s="1065"/>
      <c r="F36" s="1066"/>
      <c r="G36" s="1067"/>
      <c r="H36" s="1065"/>
      <c r="I36" s="1065"/>
      <c r="J36" s="1065"/>
      <c r="K36" s="1065"/>
      <c r="L36" s="1022" t="s">
        <v>200</v>
      </c>
      <c r="M36" s="1023" t="s">
        <v>1875</v>
      </c>
      <c r="N36" s="1028"/>
      <c r="O36" s="1028"/>
      <c r="P36" s="1028"/>
      <c r="Q36" s="1024"/>
      <c r="R36" s="1020">
        <v>0</v>
      </c>
      <c r="S36" s="999"/>
    </row>
    <row r="37" spans="1:19" s="936" customFormat="1" ht="19.5" customHeight="1">
      <c r="A37" s="947"/>
      <c r="B37" s="948"/>
      <c r="C37" s="948"/>
      <c r="D37" s="948"/>
      <c r="E37" s="1030"/>
      <c r="F37" s="1058"/>
      <c r="G37" s="1059"/>
      <c r="H37" s="1030"/>
      <c r="I37" s="1030"/>
      <c r="J37" s="1030"/>
      <c r="K37" s="1030"/>
      <c r="L37" s="1022" t="s">
        <v>1876</v>
      </c>
      <c r="M37" s="1023" t="s">
        <v>1877</v>
      </c>
      <c r="N37" s="1028"/>
      <c r="O37" s="1042"/>
      <c r="P37" s="1028"/>
      <c r="Q37" s="1024"/>
      <c r="R37" s="1020">
        <v>0</v>
      </c>
      <c r="S37" s="999"/>
    </row>
    <row r="38" spans="1:19" s="936" customFormat="1" ht="19.5" customHeight="1">
      <c r="A38" s="1017" t="s">
        <v>1866</v>
      </c>
      <c r="B38" s="965"/>
      <c r="C38" s="965"/>
      <c r="D38" s="965"/>
      <c r="E38" s="1072"/>
      <c r="F38" s="1073"/>
      <c r="G38" s="1074" t="s">
        <v>1867</v>
      </c>
      <c r="H38" s="1072"/>
      <c r="I38" s="1072"/>
      <c r="J38" s="1072"/>
      <c r="K38" s="1072"/>
      <c r="L38" s="1045" t="s">
        <v>1878</v>
      </c>
      <c r="M38" s="1046" t="s">
        <v>1879</v>
      </c>
      <c r="N38" s="1050"/>
      <c r="O38" s="1072"/>
      <c r="P38" s="1050"/>
      <c r="Q38" s="1047"/>
      <c r="R38" s="1075">
        <v>0</v>
      </c>
      <c r="S38" s="1018"/>
    </row>
    <row r="40" ht="12" customHeight="1">
      <c r="B40" s="882" t="s">
        <v>1662</v>
      </c>
    </row>
    <row r="41" ht="12" customHeight="1">
      <c r="B41" s="806" t="s">
        <v>1880</v>
      </c>
    </row>
  </sheetData>
  <mergeCells count="17">
    <mergeCell ref="E5:L5"/>
    <mergeCell ref="O5:P5"/>
    <mergeCell ref="E6:L6"/>
    <mergeCell ref="O6:P6"/>
    <mergeCell ref="E7:L7"/>
    <mergeCell ref="O7:P7"/>
    <mergeCell ref="E9:L9"/>
    <mergeCell ref="O9:P9"/>
    <mergeCell ref="E10:L10"/>
    <mergeCell ref="O10:P10"/>
    <mergeCell ref="E11:L11"/>
    <mergeCell ref="O11:P11"/>
    <mergeCell ref="O13:P13"/>
    <mergeCell ref="O14:P14"/>
    <mergeCell ref="P32:Q32"/>
    <mergeCell ref="P33:Q33"/>
    <mergeCell ref="O8:P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7" r:id="rId1"/>
  <headerFooter alignWithMargins="0">
    <oddFooter>&amp;C   Strana &amp;P  z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3:J47"/>
  <sheetViews>
    <sheetView workbookViewId="0" topLeftCell="A1">
      <pane ySplit="8" topLeftCell="A18" activePane="bottomLeft" state="frozen"/>
      <selection pane="topLeft" activeCell="B68" sqref="B68"/>
      <selection pane="bottomLeft" activeCell="J47" sqref="J47"/>
    </sheetView>
  </sheetViews>
  <sheetFormatPr defaultColWidth="9.125" defaultRowHeight="12.75"/>
  <cols>
    <col min="1" max="1" width="17.875" style="740" customWidth="1"/>
    <col min="2" max="2" width="45.875" style="740" customWidth="1"/>
    <col min="3" max="8" width="9.125" style="740" customWidth="1"/>
    <col min="9" max="9" width="10.125" style="740" customWidth="1"/>
    <col min="10" max="10" width="11.00390625" style="740" bestFit="1" customWidth="1"/>
    <col min="11" max="256" width="9.125" style="740" customWidth="1"/>
    <col min="257" max="257" width="17.875" style="740" customWidth="1"/>
    <col min="258" max="258" width="45.875" style="740" customWidth="1"/>
    <col min="259" max="264" width="9.125" style="740" customWidth="1"/>
    <col min="265" max="265" width="10.125" style="740" customWidth="1"/>
    <col min="266" max="266" width="11.00390625" style="740" bestFit="1" customWidth="1"/>
    <col min="267" max="512" width="9.125" style="740" customWidth="1"/>
    <col min="513" max="513" width="17.875" style="740" customWidth="1"/>
    <col min="514" max="514" width="45.875" style="740" customWidth="1"/>
    <col min="515" max="520" width="9.125" style="740" customWidth="1"/>
    <col min="521" max="521" width="10.125" style="740" customWidth="1"/>
    <col min="522" max="522" width="11.00390625" style="740" bestFit="1" customWidth="1"/>
    <col min="523" max="768" width="9.125" style="740" customWidth="1"/>
    <col min="769" max="769" width="17.875" style="740" customWidth="1"/>
    <col min="770" max="770" width="45.875" style="740" customWidth="1"/>
    <col min="771" max="776" width="9.125" style="740" customWidth="1"/>
    <col min="777" max="777" width="10.125" style="740" customWidth="1"/>
    <col min="778" max="778" width="11.00390625" style="740" bestFit="1" customWidth="1"/>
    <col min="779" max="1024" width="9.125" style="740" customWidth="1"/>
    <col min="1025" max="1025" width="17.875" style="740" customWidth="1"/>
    <col min="1026" max="1026" width="45.875" style="740" customWidth="1"/>
    <col min="1027" max="1032" width="9.125" style="740" customWidth="1"/>
    <col min="1033" max="1033" width="10.125" style="740" customWidth="1"/>
    <col min="1034" max="1034" width="11.00390625" style="740" bestFit="1" customWidth="1"/>
    <col min="1035" max="1280" width="9.125" style="740" customWidth="1"/>
    <col min="1281" max="1281" width="17.875" style="740" customWidth="1"/>
    <col min="1282" max="1282" width="45.875" style="740" customWidth="1"/>
    <col min="1283" max="1288" width="9.125" style="740" customWidth="1"/>
    <col min="1289" max="1289" width="10.125" style="740" customWidth="1"/>
    <col min="1290" max="1290" width="11.00390625" style="740" bestFit="1" customWidth="1"/>
    <col min="1291" max="1536" width="9.125" style="740" customWidth="1"/>
    <col min="1537" max="1537" width="17.875" style="740" customWidth="1"/>
    <col min="1538" max="1538" width="45.875" style="740" customWidth="1"/>
    <col min="1539" max="1544" width="9.125" style="740" customWidth="1"/>
    <col min="1545" max="1545" width="10.125" style="740" customWidth="1"/>
    <col min="1546" max="1546" width="11.00390625" style="740" bestFit="1" customWidth="1"/>
    <col min="1547" max="1792" width="9.125" style="740" customWidth="1"/>
    <col min="1793" max="1793" width="17.875" style="740" customWidth="1"/>
    <col min="1794" max="1794" width="45.875" style="740" customWidth="1"/>
    <col min="1795" max="1800" width="9.125" style="740" customWidth="1"/>
    <col min="1801" max="1801" width="10.125" style="740" customWidth="1"/>
    <col min="1802" max="1802" width="11.00390625" style="740" bestFit="1" customWidth="1"/>
    <col min="1803" max="2048" width="9.125" style="740" customWidth="1"/>
    <col min="2049" max="2049" width="17.875" style="740" customWidth="1"/>
    <col min="2050" max="2050" width="45.875" style="740" customWidth="1"/>
    <col min="2051" max="2056" width="9.125" style="740" customWidth="1"/>
    <col min="2057" max="2057" width="10.125" style="740" customWidth="1"/>
    <col min="2058" max="2058" width="11.00390625" style="740" bestFit="1" customWidth="1"/>
    <col min="2059" max="2304" width="9.125" style="740" customWidth="1"/>
    <col min="2305" max="2305" width="17.875" style="740" customWidth="1"/>
    <col min="2306" max="2306" width="45.875" style="740" customWidth="1"/>
    <col min="2307" max="2312" width="9.125" style="740" customWidth="1"/>
    <col min="2313" max="2313" width="10.125" style="740" customWidth="1"/>
    <col min="2314" max="2314" width="11.00390625" style="740" bestFit="1" customWidth="1"/>
    <col min="2315" max="2560" width="9.125" style="740" customWidth="1"/>
    <col min="2561" max="2561" width="17.875" style="740" customWidth="1"/>
    <col min="2562" max="2562" width="45.875" style="740" customWidth="1"/>
    <col min="2563" max="2568" width="9.125" style="740" customWidth="1"/>
    <col min="2569" max="2569" width="10.125" style="740" customWidth="1"/>
    <col min="2570" max="2570" width="11.00390625" style="740" bestFit="1" customWidth="1"/>
    <col min="2571" max="2816" width="9.125" style="740" customWidth="1"/>
    <col min="2817" max="2817" width="17.875" style="740" customWidth="1"/>
    <col min="2818" max="2818" width="45.875" style="740" customWidth="1"/>
    <col min="2819" max="2824" width="9.125" style="740" customWidth="1"/>
    <col min="2825" max="2825" width="10.125" style="740" customWidth="1"/>
    <col min="2826" max="2826" width="11.00390625" style="740" bestFit="1" customWidth="1"/>
    <col min="2827" max="3072" width="9.125" style="740" customWidth="1"/>
    <col min="3073" max="3073" width="17.875" style="740" customWidth="1"/>
    <col min="3074" max="3074" width="45.875" style="740" customWidth="1"/>
    <col min="3075" max="3080" width="9.125" style="740" customWidth="1"/>
    <col min="3081" max="3081" width="10.125" style="740" customWidth="1"/>
    <col min="3082" max="3082" width="11.00390625" style="740" bestFit="1" customWidth="1"/>
    <col min="3083" max="3328" width="9.125" style="740" customWidth="1"/>
    <col min="3329" max="3329" width="17.875" style="740" customWidth="1"/>
    <col min="3330" max="3330" width="45.875" style="740" customWidth="1"/>
    <col min="3331" max="3336" width="9.125" style="740" customWidth="1"/>
    <col min="3337" max="3337" width="10.125" style="740" customWidth="1"/>
    <col min="3338" max="3338" width="11.00390625" style="740" bestFit="1" customWidth="1"/>
    <col min="3339" max="3584" width="9.125" style="740" customWidth="1"/>
    <col min="3585" max="3585" width="17.875" style="740" customWidth="1"/>
    <col min="3586" max="3586" width="45.875" style="740" customWidth="1"/>
    <col min="3587" max="3592" width="9.125" style="740" customWidth="1"/>
    <col min="3593" max="3593" width="10.125" style="740" customWidth="1"/>
    <col min="3594" max="3594" width="11.00390625" style="740" bestFit="1" customWidth="1"/>
    <col min="3595" max="3840" width="9.125" style="740" customWidth="1"/>
    <col min="3841" max="3841" width="17.875" style="740" customWidth="1"/>
    <col min="3842" max="3842" width="45.875" style="740" customWidth="1"/>
    <col min="3843" max="3848" width="9.125" style="740" customWidth="1"/>
    <col min="3849" max="3849" width="10.125" style="740" customWidth="1"/>
    <col min="3850" max="3850" width="11.00390625" style="740" bestFit="1" customWidth="1"/>
    <col min="3851" max="4096" width="9.125" style="740" customWidth="1"/>
    <col min="4097" max="4097" width="17.875" style="740" customWidth="1"/>
    <col min="4098" max="4098" width="45.875" style="740" customWidth="1"/>
    <col min="4099" max="4104" width="9.125" style="740" customWidth="1"/>
    <col min="4105" max="4105" width="10.125" style="740" customWidth="1"/>
    <col min="4106" max="4106" width="11.00390625" style="740" bestFit="1" customWidth="1"/>
    <col min="4107" max="4352" width="9.125" style="740" customWidth="1"/>
    <col min="4353" max="4353" width="17.875" style="740" customWidth="1"/>
    <col min="4354" max="4354" width="45.875" style="740" customWidth="1"/>
    <col min="4355" max="4360" width="9.125" style="740" customWidth="1"/>
    <col min="4361" max="4361" width="10.125" style="740" customWidth="1"/>
    <col min="4362" max="4362" width="11.00390625" style="740" bestFit="1" customWidth="1"/>
    <col min="4363" max="4608" width="9.125" style="740" customWidth="1"/>
    <col min="4609" max="4609" width="17.875" style="740" customWidth="1"/>
    <col min="4610" max="4610" width="45.875" style="740" customWidth="1"/>
    <col min="4611" max="4616" width="9.125" style="740" customWidth="1"/>
    <col min="4617" max="4617" width="10.125" style="740" customWidth="1"/>
    <col min="4618" max="4618" width="11.00390625" style="740" bestFit="1" customWidth="1"/>
    <col min="4619" max="4864" width="9.125" style="740" customWidth="1"/>
    <col min="4865" max="4865" width="17.875" style="740" customWidth="1"/>
    <col min="4866" max="4866" width="45.875" style="740" customWidth="1"/>
    <col min="4867" max="4872" width="9.125" style="740" customWidth="1"/>
    <col min="4873" max="4873" width="10.125" style="740" customWidth="1"/>
    <col min="4874" max="4874" width="11.00390625" style="740" bestFit="1" customWidth="1"/>
    <col min="4875" max="5120" width="9.125" style="740" customWidth="1"/>
    <col min="5121" max="5121" width="17.875" style="740" customWidth="1"/>
    <col min="5122" max="5122" width="45.875" style="740" customWidth="1"/>
    <col min="5123" max="5128" width="9.125" style="740" customWidth="1"/>
    <col min="5129" max="5129" width="10.125" style="740" customWidth="1"/>
    <col min="5130" max="5130" width="11.00390625" style="740" bestFit="1" customWidth="1"/>
    <col min="5131" max="5376" width="9.125" style="740" customWidth="1"/>
    <col min="5377" max="5377" width="17.875" style="740" customWidth="1"/>
    <col min="5378" max="5378" width="45.875" style="740" customWidth="1"/>
    <col min="5379" max="5384" width="9.125" style="740" customWidth="1"/>
    <col min="5385" max="5385" width="10.125" style="740" customWidth="1"/>
    <col min="5386" max="5386" width="11.00390625" style="740" bestFit="1" customWidth="1"/>
    <col min="5387" max="5632" width="9.125" style="740" customWidth="1"/>
    <col min="5633" max="5633" width="17.875" style="740" customWidth="1"/>
    <col min="5634" max="5634" width="45.875" style="740" customWidth="1"/>
    <col min="5635" max="5640" width="9.125" style="740" customWidth="1"/>
    <col min="5641" max="5641" width="10.125" style="740" customWidth="1"/>
    <col min="5642" max="5642" width="11.00390625" style="740" bestFit="1" customWidth="1"/>
    <col min="5643" max="5888" width="9.125" style="740" customWidth="1"/>
    <col min="5889" max="5889" width="17.875" style="740" customWidth="1"/>
    <col min="5890" max="5890" width="45.875" style="740" customWidth="1"/>
    <col min="5891" max="5896" width="9.125" style="740" customWidth="1"/>
    <col min="5897" max="5897" width="10.125" style="740" customWidth="1"/>
    <col min="5898" max="5898" width="11.00390625" style="740" bestFit="1" customWidth="1"/>
    <col min="5899" max="6144" width="9.125" style="740" customWidth="1"/>
    <col min="6145" max="6145" width="17.875" style="740" customWidth="1"/>
    <col min="6146" max="6146" width="45.875" style="740" customWidth="1"/>
    <col min="6147" max="6152" width="9.125" style="740" customWidth="1"/>
    <col min="6153" max="6153" width="10.125" style="740" customWidth="1"/>
    <col min="6154" max="6154" width="11.00390625" style="740" bestFit="1" customWidth="1"/>
    <col min="6155" max="6400" width="9.125" style="740" customWidth="1"/>
    <col min="6401" max="6401" width="17.875" style="740" customWidth="1"/>
    <col min="6402" max="6402" width="45.875" style="740" customWidth="1"/>
    <col min="6403" max="6408" width="9.125" style="740" customWidth="1"/>
    <col min="6409" max="6409" width="10.125" style="740" customWidth="1"/>
    <col min="6410" max="6410" width="11.00390625" style="740" bestFit="1" customWidth="1"/>
    <col min="6411" max="6656" width="9.125" style="740" customWidth="1"/>
    <col min="6657" max="6657" width="17.875" style="740" customWidth="1"/>
    <col min="6658" max="6658" width="45.875" style="740" customWidth="1"/>
    <col min="6659" max="6664" width="9.125" style="740" customWidth="1"/>
    <col min="6665" max="6665" width="10.125" style="740" customWidth="1"/>
    <col min="6666" max="6666" width="11.00390625" style="740" bestFit="1" customWidth="1"/>
    <col min="6667" max="6912" width="9.125" style="740" customWidth="1"/>
    <col min="6913" max="6913" width="17.875" style="740" customWidth="1"/>
    <col min="6914" max="6914" width="45.875" style="740" customWidth="1"/>
    <col min="6915" max="6920" width="9.125" style="740" customWidth="1"/>
    <col min="6921" max="6921" width="10.125" style="740" customWidth="1"/>
    <col min="6922" max="6922" width="11.00390625" style="740" bestFit="1" customWidth="1"/>
    <col min="6923" max="7168" width="9.125" style="740" customWidth="1"/>
    <col min="7169" max="7169" width="17.875" style="740" customWidth="1"/>
    <col min="7170" max="7170" width="45.875" style="740" customWidth="1"/>
    <col min="7171" max="7176" width="9.125" style="740" customWidth="1"/>
    <col min="7177" max="7177" width="10.125" style="740" customWidth="1"/>
    <col min="7178" max="7178" width="11.00390625" style="740" bestFit="1" customWidth="1"/>
    <col min="7179" max="7424" width="9.125" style="740" customWidth="1"/>
    <col min="7425" max="7425" width="17.875" style="740" customWidth="1"/>
    <col min="7426" max="7426" width="45.875" style="740" customWidth="1"/>
    <col min="7427" max="7432" width="9.125" style="740" customWidth="1"/>
    <col min="7433" max="7433" width="10.125" style="740" customWidth="1"/>
    <col min="7434" max="7434" width="11.00390625" style="740" bestFit="1" customWidth="1"/>
    <col min="7435" max="7680" width="9.125" style="740" customWidth="1"/>
    <col min="7681" max="7681" width="17.875" style="740" customWidth="1"/>
    <col min="7682" max="7682" width="45.875" style="740" customWidth="1"/>
    <col min="7683" max="7688" width="9.125" style="740" customWidth="1"/>
    <col min="7689" max="7689" width="10.125" style="740" customWidth="1"/>
    <col min="7690" max="7690" width="11.00390625" style="740" bestFit="1" customWidth="1"/>
    <col min="7691" max="7936" width="9.125" style="740" customWidth="1"/>
    <col min="7937" max="7937" width="17.875" style="740" customWidth="1"/>
    <col min="7938" max="7938" width="45.875" style="740" customWidth="1"/>
    <col min="7939" max="7944" width="9.125" style="740" customWidth="1"/>
    <col min="7945" max="7945" width="10.125" style="740" customWidth="1"/>
    <col min="7946" max="7946" width="11.00390625" style="740" bestFit="1" customWidth="1"/>
    <col min="7947" max="8192" width="9.125" style="740" customWidth="1"/>
    <col min="8193" max="8193" width="17.875" style="740" customWidth="1"/>
    <col min="8194" max="8194" width="45.875" style="740" customWidth="1"/>
    <col min="8195" max="8200" width="9.125" style="740" customWidth="1"/>
    <col min="8201" max="8201" width="10.125" style="740" customWidth="1"/>
    <col min="8202" max="8202" width="11.00390625" style="740" bestFit="1" customWidth="1"/>
    <col min="8203" max="8448" width="9.125" style="740" customWidth="1"/>
    <col min="8449" max="8449" width="17.875" style="740" customWidth="1"/>
    <col min="8450" max="8450" width="45.875" style="740" customWidth="1"/>
    <col min="8451" max="8456" width="9.125" style="740" customWidth="1"/>
    <col min="8457" max="8457" width="10.125" style="740" customWidth="1"/>
    <col min="8458" max="8458" width="11.00390625" style="740" bestFit="1" customWidth="1"/>
    <col min="8459" max="8704" width="9.125" style="740" customWidth="1"/>
    <col min="8705" max="8705" width="17.875" style="740" customWidth="1"/>
    <col min="8706" max="8706" width="45.875" style="740" customWidth="1"/>
    <col min="8707" max="8712" width="9.125" style="740" customWidth="1"/>
    <col min="8713" max="8713" width="10.125" style="740" customWidth="1"/>
    <col min="8714" max="8714" width="11.00390625" style="740" bestFit="1" customWidth="1"/>
    <col min="8715" max="8960" width="9.125" style="740" customWidth="1"/>
    <col min="8961" max="8961" width="17.875" style="740" customWidth="1"/>
    <col min="8962" max="8962" width="45.875" style="740" customWidth="1"/>
    <col min="8963" max="8968" width="9.125" style="740" customWidth="1"/>
    <col min="8969" max="8969" width="10.125" style="740" customWidth="1"/>
    <col min="8970" max="8970" width="11.00390625" style="740" bestFit="1" customWidth="1"/>
    <col min="8971" max="9216" width="9.125" style="740" customWidth="1"/>
    <col min="9217" max="9217" width="17.875" style="740" customWidth="1"/>
    <col min="9218" max="9218" width="45.875" style="740" customWidth="1"/>
    <col min="9219" max="9224" width="9.125" style="740" customWidth="1"/>
    <col min="9225" max="9225" width="10.125" style="740" customWidth="1"/>
    <col min="9226" max="9226" width="11.00390625" style="740" bestFit="1" customWidth="1"/>
    <col min="9227" max="9472" width="9.125" style="740" customWidth="1"/>
    <col min="9473" max="9473" width="17.875" style="740" customWidth="1"/>
    <col min="9474" max="9474" width="45.875" style="740" customWidth="1"/>
    <col min="9475" max="9480" width="9.125" style="740" customWidth="1"/>
    <col min="9481" max="9481" width="10.125" style="740" customWidth="1"/>
    <col min="9482" max="9482" width="11.00390625" style="740" bestFit="1" customWidth="1"/>
    <col min="9483" max="9728" width="9.125" style="740" customWidth="1"/>
    <col min="9729" max="9729" width="17.875" style="740" customWidth="1"/>
    <col min="9730" max="9730" width="45.875" style="740" customWidth="1"/>
    <col min="9731" max="9736" width="9.125" style="740" customWidth="1"/>
    <col min="9737" max="9737" width="10.125" style="740" customWidth="1"/>
    <col min="9738" max="9738" width="11.00390625" style="740" bestFit="1" customWidth="1"/>
    <col min="9739" max="9984" width="9.125" style="740" customWidth="1"/>
    <col min="9985" max="9985" width="17.875" style="740" customWidth="1"/>
    <col min="9986" max="9986" width="45.875" style="740" customWidth="1"/>
    <col min="9987" max="9992" width="9.125" style="740" customWidth="1"/>
    <col min="9993" max="9993" width="10.125" style="740" customWidth="1"/>
    <col min="9994" max="9994" width="11.00390625" style="740" bestFit="1" customWidth="1"/>
    <col min="9995" max="10240" width="9.125" style="740" customWidth="1"/>
    <col min="10241" max="10241" width="17.875" style="740" customWidth="1"/>
    <col min="10242" max="10242" width="45.875" style="740" customWidth="1"/>
    <col min="10243" max="10248" width="9.125" style="740" customWidth="1"/>
    <col min="10249" max="10249" width="10.125" style="740" customWidth="1"/>
    <col min="10250" max="10250" width="11.00390625" style="740" bestFit="1" customWidth="1"/>
    <col min="10251" max="10496" width="9.125" style="740" customWidth="1"/>
    <col min="10497" max="10497" width="17.875" style="740" customWidth="1"/>
    <col min="10498" max="10498" width="45.875" style="740" customWidth="1"/>
    <col min="10499" max="10504" width="9.125" style="740" customWidth="1"/>
    <col min="10505" max="10505" width="10.125" style="740" customWidth="1"/>
    <col min="10506" max="10506" width="11.00390625" style="740" bestFit="1" customWidth="1"/>
    <col min="10507" max="10752" width="9.125" style="740" customWidth="1"/>
    <col min="10753" max="10753" width="17.875" style="740" customWidth="1"/>
    <col min="10754" max="10754" width="45.875" style="740" customWidth="1"/>
    <col min="10755" max="10760" width="9.125" style="740" customWidth="1"/>
    <col min="10761" max="10761" width="10.125" style="740" customWidth="1"/>
    <col min="10762" max="10762" width="11.00390625" style="740" bestFit="1" customWidth="1"/>
    <col min="10763" max="11008" width="9.125" style="740" customWidth="1"/>
    <col min="11009" max="11009" width="17.875" style="740" customWidth="1"/>
    <col min="11010" max="11010" width="45.875" style="740" customWidth="1"/>
    <col min="11011" max="11016" width="9.125" style="740" customWidth="1"/>
    <col min="11017" max="11017" width="10.125" style="740" customWidth="1"/>
    <col min="11018" max="11018" width="11.00390625" style="740" bestFit="1" customWidth="1"/>
    <col min="11019" max="11264" width="9.125" style="740" customWidth="1"/>
    <col min="11265" max="11265" width="17.875" style="740" customWidth="1"/>
    <col min="11266" max="11266" width="45.875" style="740" customWidth="1"/>
    <col min="11267" max="11272" width="9.125" style="740" customWidth="1"/>
    <col min="11273" max="11273" width="10.125" style="740" customWidth="1"/>
    <col min="11274" max="11274" width="11.00390625" style="740" bestFit="1" customWidth="1"/>
    <col min="11275" max="11520" width="9.125" style="740" customWidth="1"/>
    <col min="11521" max="11521" width="17.875" style="740" customWidth="1"/>
    <col min="11522" max="11522" width="45.875" style="740" customWidth="1"/>
    <col min="11523" max="11528" width="9.125" style="740" customWidth="1"/>
    <col min="11529" max="11529" width="10.125" style="740" customWidth="1"/>
    <col min="11530" max="11530" width="11.00390625" style="740" bestFit="1" customWidth="1"/>
    <col min="11531" max="11776" width="9.125" style="740" customWidth="1"/>
    <col min="11777" max="11777" width="17.875" style="740" customWidth="1"/>
    <col min="11778" max="11778" width="45.875" style="740" customWidth="1"/>
    <col min="11779" max="11784" width="9.125" style="740" customWidth="1"/>
    <col min="11785" max="11785" width="10.125" style="740" customWidth="1"/>
    <col min="11786" max="11786" width="11.00390625" style="740" bestFit="1" customWidth="1"/>
    <col min="11787" max="12032" width="9.125" style="740" customWidth="1"/>
    <col min="12033" max="12033" width="17.875" style="740" customWidth="1"/>
    <col min="12034" max="12034" width="45.875" style="740" customWidth="1"/>
    <col min="12035" max="12040" width="9.125" style="740" customWidth="1"/>
    <col min="12041" max="12041" width="10.125" style="740" customWidth="1"/>
    <col min="12042" max="12042" width="11.00390625" style="740" bestFit="1" customWidth="1"/>
    <col min="12043" max="12288" width="9.125" style="740" customWidth="1"/>
    <col min="12289" max="12289" width="17.875" style="740" customWidth="1"/>
    <col min="12290" max="12290" width="45.875" style="740" customWidth="1"/>
    <col min="12291" max="12296" width="9.125" style="740" customWidth="1"/>
    <col min="12297" max="12297" width="10.125" style="740" customWidth="1"/>
    <col min="12298" max="12298" width="11.00390625" style="740" bestFit="1" customWidth="1"/>
    <col min="12299" max="12544" width="9.125" style="740" customWidth="1"/>
    <col min="12545" max="12545" width="17.875" style="740" customWidth="1"/>
    <col min="12546" max="12546" width="45.875" style="740" customWidth="1"/>
    <col min="12547" max="12552" width="9.125" style="740" customWidth="1"/>
    <col min="12553" max="12553" width="10.125" style="740" customWidth="1"/>
    <col min="12554" max="12554" width="11.00390625" style="740" bestFit="1" customWidth="1"/>
    <col min="12555" max="12800" width="9.125" style="740" customWidth="1"/>
    <col min="12801" max="12801" width="17.875" style="740" customWidth="1"/>
    <col min="12802" max="12802" width="45.875" style="740" customWidth="1"/>
    <col min="12803" max="12808" width="9.125" style="740" customWidth="1"/>
    <col min="12809" max="12809" width="10.125" style="740" customWidth="1"/>
    <col min="12810" max="12810" width="11.00390625" style="740" bestFit="1" customWidth="1"/>
    <col min="12811" max="13056" width="9.125" style="740" customWidth="1"/>
    <col min="13057" max="13057" width="17.875" style="740" customWidth="1"/>
    <col min="13058" max="13058" width="45.875" style="740" customWidth="1"/>
    <col min="13059" max="13064" width="9.125" style="740" customWidth="1"/>
    <col min="13065" max="13065" width="10.125" style="740" customWidth="1"/>
    <col min="13066" max="13066" width="11.00390625" style="740" bestFit="1" customWidth="1"/>
    <col min="13067" max="13312" width="9.125" style="740" customWidth="1"/>
    <col min="13313" max="13313" width="17.875" style="740" customWidth="1"/>
    <col min="13314" max="13314" width="45.875" style="740" customWidth="1"/>
    <col min="13315" max="13320" width="9.125" style="740" customWidth="1"/>
    <col min="13321" max="13321" width="10.125" style="740" customWidth="1"/>
    <col min="13322" max="13322" width="11.00390625" style="740" bestFit="1" customWidth="1"/>
    <col min="13323" max="13568" width="9.125" style="740" customWidth="1"/>
    <col min="13569" max="13569" width="17.875" style="740" customWidth="1"/>
    <col min="13570" max="13570" width="45.875" style="740" customWidth="1"/>
    <col min="13571" max="13576" width="9.125" style="740" customWidth="1"/>
    <col min="13577" max="13577" width="10.125" style="740" customWidth="1"/>
    <col min="13578" max="13578" width="11.00390625" style="740" bestFit="1" customWidth="1"/>
    <col min="13579" max="13824" width="9.125" style="740" customWidth="1"/>
    <col min="13825" max="13825" width="17.875" style="740" customWidth="1"/>
    <col min="13826" max="13826" width="45.875" style="740" customWidth="1"/>
    <col min="13827" max="13832" width="9.125" style="740" customWidth="1"/>
    <col min="13833" max="13833" width="10.125" style="740" customWidth="1"/>
    <col min="13834" max="13834" width="11.00390625" style="740" bestFit="1" customWidth="1"/>
    <col min="13835" max="14080" width="9.125" style="740" customWidth="1"/>
    <col min="14081" max="14081" width="17.875" style="740" customWidth="1"/>
    <col min="14082" max="14082" width="45.875" style="740" customWidth="1"/>
    <col min="14083" max="14088" width="9.125" style="740" customWidth="1"/>
    <col min="14089" max="14089" width="10.125" style="740" customWidth="1"/>
    <col min="14090" max="14090" width="11.00390625" style="740" bestFit="1" customWidth="1"/>
    <col min="14091" max="14336" width="9.125" style="740" customWidth="1"/>
    <col min="14337" max="14337" width="17.875" style="740" customWidth="1"/>
    <col min="14338" max="14338" width="45.875" style="740" customWidth="1"/>
    <col min="14339" max="14344" width="9.125" style="740" customWidth="1"/>
    <col min="14345" max="14345" width="10.125" style="740" customWidth="1"/>
    <col min="14346" max="14346" width="11.00390625" style="740" bestFit="1" customWidth="1"/>
    <col min="14347" max="14592" width="9.125" style="740" customWidth="1"/>
    <col min="14593" max="14593" width="17.875" style="740" customWidth="1"/>
    <col min="14594" max="14594" width="45.875" style="740" customWidth="1"/>
    <col min="14595" max="14600" width="9.125" style="740" customWidth="1"/>
    <col min="14601" max="14601" width="10.125" style="740" customWidth="1"/>
    <col min="14602" max="14602" width="11.00390625" style="740" bestFit="1" customWidth="1"/>
    <col min="14603" max="14848" width="9.125" style="740" customWidth="1"/>
    <col min="14849" max="14849" width="17.875" style="740" customWidth="1"/>
    <col min="14850" max="14850" width="45.875" style="740" customWidth="1"/>
    <col min="14851" max="14856" width="9.125" style="740" customWidth="1"/>
    <col min="14857" max="14857" width="10.125" style="740" customWidth="1"/>
    <col min="14858" max="14858" width="11.00390625" style="740" bestFit="1" customWidth="1"/>
    <col min="14859" max="15104" width="9.125" style="740" customWidth="1"/>
    <col min="15105" max="15105" width="17.875" style="740" customWidth="1"/>
    <col min="15106" max="15106" width="45.875" style="740" customWidth="1"/>
    <col min="15107" max="15112" width="9.125" style="740" customWidth="1"/>
    <col min="15113" max="15113" width="10.125" style="740" customWidth="1"/>
    <col min="15114" max="15114" width="11.00390625" style="740" bestFit="1" customWidth="1"/>
    <col min="15115" max="15360" width="9.125" style="740" customWidth="1"/>
    <col min="15361" max="15361" width="17.875" style="740" customWidth="1"/>
    <col min="15362" max="15362" width="45.875" style="740" customWidth="1"/>
    <col min="15363" max="15368" width="9.125" style="740" customWidth="1"/>
    <col min="15369" max="15369" width="10.125" style="740" customWidth="1"/>
    <col min="15370" max="15370" width="11.00390625" style="740" bestFit="1" customWidth="1"/>
    <col min="15371" max="15616" width="9.125" style="740" customWidth="1"/>
    <col min="15617" max="15617" width="17.875" style="740" customWidth="1"/>
    <col min="15618" max="15618" width="45.875" style="740" customWidth="1"/>
    <col min="15619" max="15624" width="9.125" style="740" customWidth="1"/>
    <col min="15625" max="15625" width="10.125" style="740" customWidth="1"/>
    <col min="15626" max="15626" width="11.00390625" style="740" bestFit="1" customWidth="1"/>
    <col min="15627" max="15872" width="9.125" style="740" customWidth="1"/>
    <col min="15873" max="15873" width="17.875" style="740" customWidth="1"/>
    <col min="15874" max="15874" width="45.875" style="740" customWidth="1"/>
    <col min="15875" max="15880" width="9.125" style="740" customWidth="1"/>
    <col min="15881" max="15881" width="10.125" style="740" customWidth="1"/>
    <col min="15882" max="15882" width="11.00390625" style="740" bestFit="1" customWidth="1"/>
    <col min="15883" max="16128" width="9.125" style="740" customWidth="1"/>
    <col min="16129" max="16129" width="17.875" style="740" customWidth="1"/>
    <col min="16130" max="16130" width="45.875" style="740" customWidth="1"/>
    <col min="16131" max="16136" width="9.125" style="740" customWidth="1"/>
    <col min="16137" max="16137" width="10.125" style="740" customWidth="1"/>
    <col min="16138" max="16138" width="11.00390625" style="740" bestFit="1" customWidth="1"/>
    <col min="16139" max="16384" width="9.125" style="740" customWidth="1"/>
  </cols>
  <sheetData>
    <row r="3" spans="1:10" ht="12.75">
      <c r="A3" s="736"/>
      <c r="B3" s="737" t="s">
        <v>1571</v>
      </c>
      <c r="C3" s="738"/>
      <c r="D3" s="739"/>
      <c r="E3" s="739"/>
      <c r="F3" s="739"/>
      <c r="G3" s="739"/>
      <c r="H3" s="739"/>
      <c r="I3" s="739"/>
      <c r="J3" s="738"/>
    </row>
    <row r="4" spans="1:10" ht="12.75">
      <c r="A4" s="736"/>
      <c r="B4" s="741" t="s">
        <v>1572</v>
      </c>
      <c r="C4" s="738"/>
      <c r="D4" s="739"/>
      <c r="E4" s="739"/>
      <c r="F4" s="739"/>
      <c r="G4" s="739"/>
      <c r="H4" s="739"/>
      <c r="I4" s="739"/>
      <c r="J4" s="738"/>
    </row>
    <row r="5" spans="1:10" ht="12.75">
      <c r="A5" s="736"/>
      <c r="B5" s="742" t="s">
        <v>1881</v>
      </c>
      <c r="C5" s="738"/>
      <c r="D5" s="739"/>
      <c r="E5" s="739"/>
      <c r="F5" s="739"/>
      <c r="G5" s="739"/>
      <c r="H5" s="739"/>
      <c r="I5" s="739"/>
      <c r="J5" s="738"/>
    </row>
    <row r="6" spans="1:10" ht="12.75">
      <c r="A6" s="736"/>
      <c r="B6" s="738" t="s">
        <v>1574</v>
      </c>
      <c r="C6" s="743" t="s">
        <v>1450</v>
      </c>
      <c r="D6" s="744"/>
      <c r="E6" s="744"/>
      <c r="F6" s="744"/>
      <c r="G6" s="744"/>
      <c r="H6" s="744"/>
      <c r="I6" s="744"/>
      <c r="J6" s="738"/>
    </row>
    <row r="7" spans="1:10" ht="14.4">
      <c r="A7" s="745" t="s">
        <v>1070</v>
      </c>
      <c r="B7" s="746" t="s">
        <v>1071</v>
      </c>
      <c r="C7" s="746" t="s">
        <v>1072</v>
      </c>
      <c r="D7" s="787" t="s">
        <v>133</v>
      </c>
      <c r="E7" s="1076"/>
      <c r="F7" s="1076"/>
      <c r="G7" s="746" t="s">
        <v>1575</v>
      </c>
      <c r="H7" s="1632" t="s">
        <v>1129</v>
      </c>
      <c r="I7" s="1699"/>
      <c r="J7" s="1700"/>
    </row>
    <row r="8" spans="1:10" ht="77.25" customHeight="1">
      <c r="A8" s="749"/>
      <c r="B8" s="750"/>
      <c r="C8" s="751"/>
      <c r="D8" s="752" t="s">
        <v>1576</v>
      </c>
      <c r="E8" s="752" t="s">
        <v>1577</v>
      </c>
      <c r="F8" s="752" t="s">
        <v>1578</v>
      </c>
      <c r="G8" s="752"/>
      <c r="H8" s="752" t="s">
        <v>1576</v>
      </c>
      <c r="I8" s="753" t="s">
        <v>1579</v>
      </c>
      <c r="J8" s="752" t="s">
        <v>1578</v>
      </c>
    </row>
    <row r="9" spans="1:10" ht="12.75">
      <c r="A9" s="754"/>
      <c r="B9" s="755"/>
      <c r="C9" s="756"/>
      <c r="D9" s="756"/>
      <c r="E9" s="756"/>
      <c r="F9" s="756"/>
      <c r="G9" s="756"/>
      <c r="H9" s="756"/>
      <c r="I9" s="756"/>
      <c r="J9" s="757"/>
    </row>
    <row r="10" spans="1:10" ht="21">
      <c r="A10" s="1077" t="s">
        <v>1882</v>
      </c>
      <c r="B10" s="1077" t="s">
        <v>1883</v>
      </c>
      <c r="C10" s="756"/>
      <c r="D10" s="1078">
        <v>4</v>
      </c>
      <c r="E10" s="1078">
        <v>-4</v>
      </c>
      <c r="F10" s="756"/>
      <c r="G10" s="1079">
        <v>0</v>
      </c>
      <c r="H10" s="766">
        <f>D10*G10</f>
        <v>0</v>
      </c>
      <c r="I10" s="766">
        <f>E10*G10</f>
        <v>0</v>
      </c>
      <c r="J10" s="757"/>
    </row>
    <row r="11" spans="1:10" ht="21">
      <c r="A11" s="1077" t="s">
        <v>1884</v>
      </c>
      <c r="B11" s="1077" t="s">
        <v>1885</v>
      </c>
      <c r="C11" s="756"/>
      <c r="D11" s="1078">
        <v>6</v>
      </c>
      <c r="E11" s="1078">
        <v>4</v>
      </c>
      <c r="F11" s="756"/>
      <c r="G11" s="1079">
        <v>0</v>
      </c>
      <c r="H11" s="762">
        <f>D11*G11</f>
        <v>0</v>
      </c>
      <c r="I11" s="762">
        <f>E11*G11</f>
        <v>0</v>
      </c>
      <c r="J11" s="757"/>
    </row>
    <row r="12" spans="1:10" ht="12.75">
      <c r="A12" s="754"/>
      <c r="B12" s="755"/>
      <c r="C12" s="756"/>
      <c r="D12" s="756"/>
      <c r="E12" s="756"/>
      <c r="F12" s="756"/>
      <c r="G12" s="756"/>
      <c r="H12" s="756"/>
      <c r="I12" s="756"/>
      <c r="J12" s="757"/>
    </row>
    <row r="13" spans="1:10" ht="12.75">
      <c r="A13" s="1080">
        <v>358252700</v>
      </c>
      <c r="B13" s="1080" t="s">
        <v>1886</v>
      </c>
      <c r="C13" s="756"/>
      <c r="D13" s="1081">
        <v>18</v>
      </c>
      <c r="E13" s="1081">
        <v>-18</v>
      </c>
      <c r="F13" s="756"/>
      <c r="G13" s="772">
        <v>0</v>
      </c>
      <c r="H13" s="762">
        <f>D13*G13</f>
        <v>0</v>
      </c>
      <c r="I13" s="762">
        <f>E13*G13</f>
        <v>0</v>
      </c>
      <c r="J13" s="757"/>
    </row>
    <row r="14" spans="1:10" ht="13.8" thickBot="1">
      <c r="A14" s="1082" t="s">
        <v>1887</v>
      </c>
      <c r="B14" s="1082" t="s">
        <v>1888</v>
      </c>
      <c r="C14" s="756"/>
      <c r="D14" s="760">
        <v>12</v>
      </c>
      <c r="E14" s="760">
        <v>-9</v>
      </c>
      <c r="F14" s="756"/>
      <c r="G14" s="775">
        <v>0</v>
      </c>
      <c r="H14" s="762">
        <f>D14*G14</f>
        <v>0</v>
      </c>
      <c r="I14" s="762">
        <f>E14*G14</f>
        <v>0</v>
      </c>
      <c r="J14" s="757"/>
    </row>
    <row r="15" spans="1:10" ht="13.8" thickBot="1">
      <c r="A15" s="1082">
        <v>358252660</v>
      </c>
      <c r="B15" s="1082" t="s">
        <v>1889</v>
      </c>
      <c r="C15" s="756"/>
      <c r="D15" s="756"/>
      <c r="E15" s="756"/>
      <c r="F15" s="760">
        <v>24</v>
      </c>
      <c r="G15" s="772">
        <v>0</v>
      </c>
      <c r="H15" s="756"/>
      <c r="I15" s="756"/>
      <c r="J15" s="762">
        <f>F15*G15</f>
        <v>0</v>
      </c>
    </row>
    <row r="16" spans="1:10" ht="13.8" thickBot="1">
      <c r="A16" s="1082">
        <v>358252680</v>
      </c>
      <c r="B16" s="1082" t="s">
        <v>1890</v>
      </c>
      <c r="C16" s="756"/>
      <c r="D16" s="756"/>
      <c r="E16" s="756"/>
      <c r="F16" s="760">
        <v>3</v>
      </c>
      <c r="G16" s="775">
        <v>0</v>
      </c>
      <c r="H16" s="756"/>
      <c r="I16" s="756"/>
      <c r="J16" s="762">
        <f>F16*G16</f>
        <v>0</v>
      </c>
    </row>
    <row r="17" spans="1:10" ht="13.8" thickBot="1">
      <c r="A17" s="754"/>
      <c r="B17" s="755"/>
      <c r="C17" s="756"/>
      <c r="D17" s="756"/>
      <c r="E17" s="756"/>
      <c r="F17" s="756"/>
      <c r="G17" s="756"/>
      <c r="H17" s="756"/>
      <c r="I17" s="756"/>
      <c r="J17" s="757"/>
    </row>
    <row r="18" spans="1:10" ht="21.6" thickBot="1">
      <c r="A18" s="1083" t="s">
        <v>1891</v>
      </c>
      <c r="B18" s="1083" t="s">
        <v>1892</v>
      </c>
      <c r="C18" s="756"/>
      <c r="D18" s="1084">
        <v>400</v>
      </c>
      <c r="E18" s="1084">
        <v>480</v>
      </c>
      <c r="F18" s="756"/>
      <c r="G18" s="761">
        <v>0</v>
      </c>
      <c r="H18" s="766">
        <f>D18*G18</f>
        <v>0</v>
      </c>
      <c r="I18" s="766">
        <f>E18*G18</f>
        <v>0</v>
      </c>
      <c r="J18" s="757"/>
    </row>
    <row r="19" spans="1:10" ht="13.8" thickBot="1">
      <c r="A19" s="1085" t="s">
        <v>1893</v>
      </c>
      <c r="B19" s="1085" t="s">
        <v>1894</v>
      </c>
      <c r="C19" s="756"/>
      <c r="D19" s="1086">
        <v>420</v>
      </c>
      <c r="E19" s="1086">
        <v>504</v>
      </c>
      <c r="F19" s="756"/>
      <c r="G19" s="765">
        <v>0</v>
      </c>
      <c r="H19" s="762">
        <f>D19*G19</f>
        <v>0</v>
      </c>
      <c r="I19" s="762">
        <f>E19*G19</f>
        <v>0</v>
      </c>
      <c r="J19" s="757"/>
    </row>
    <row r="20" spans="1:10" ht="21.6" thickBot="1">
      <c r="A20" s="1083">
        <v>210901098</v>
      </c>
      <c r="B20" s="1083" t="s">
        <v>1895</v>
      </c>
      <c r="C20" s="756"/>
      <c r="D20" s="1084">
        <v>590</v>
      </c>
      <c r="E20" s="1084">
        <v>-590</v>
      </c>
      <c r="F20" s="756"/>
      <c r="G20" s="761">
        <v>0</v>
      </c>
      <c r="H20" s="766">
        <f>D20*G20</f>
        <v>0</v>
      </c>
      <c r="I20" s="766">
        <f>E20*G20</f>
        <v>0</v>
      </c>
      <c r="J20" s="757"/>
    </row>
    <row r="21" spans="1:10" ht="13.8" thickBot="1">
      <c r="A21" s="1085" t="s">
        <v>1896</v>
      </c>
      <c r="B21" s="1085" t="s">
        <v>1897</v>
      </c>
      <c r="C21" s="756"/>
      <c r="D21" s="1086">
        <v>619.5</v>
      </c>
      <c r="E21" s="1086">
        <v>-619.5</v>
      </c>
      <c r="F21" s="756"/>
      <c r="G21" s="765">
        <v>0</v>
      </c>
      <c r="H21" s="762">
        <f>D21*G21</f>
        <v>0</v>
      </c>
      <c r="I21" s="762">
        <f>E21*G21</f>
        <v>0</v>
      </c>
      <c r="J21" s="757"/>
    </row>
    <row r="22" spans="1:10" ht="13.8" thickBot="1">
      <c r="A22" s="754"/>
      <c r="B22" s="755"/>
      <c r="C22" s="756"/>
      <c r="D22" s="756"/>
      <c r="E22" s="756"/>
      <c r="F22" s="756"/>
      <c r="G22" s="756"/>
      <c r="H22" s="756"/>
      <c r="I22" s="756"/>
      <c r="J22" s="757"/>
    </row>
    <row r="23" spans="1:10" ht="21">
      <c r="A23" s="1087" t="s">
        <v>1898</v>
      </c>
      <c r="B23" s="1087" t="s">
        <v>1899</v>
      </c>
      <c r="C23" s="1087" t="s">
        <v>1900</v>
      </c>
      <c r="D23" s="1088">
        <v>1.4</v>
      </c>
      <c r="E23" s="1089">
        <f>1.29</f>
        <v>1.29</v>
      </c>
      <c r="F23" s="756"/>
      <c r="G23" s="1089">
        <v>0</v>
      </c>
      <c r="H23" s="766">
        <f aca="true" t="shared" si="0" ref="H23:H37">D23*G23</f>
        <v>0</v>
      </c>
      <c r="I23" s="766">
        <f aca="true" t="shared" si="1" ref="I23:I37">E23*G23</f>
        <v>0</v>
      </c>
      <c r="J23" s="757"/>
    </row>
    <row r="24" spans="1:10" ht="21">
      <c r="A24" s="1090" t="s">
        <v>1901</v>
      </c>
      <c r="B24" s="1090" t="s">
        <v>1902</v>
      </c>
      <c r="C24" s="1090" t="s">
        <v>145</v>
      </c>
      <c r="D24" s="1091">
        <v>75</v>
      </c>
      <c r="E24" s="1079">
        <v>-75</v>
      </c>
      <c r="F24" s="756"/>
      <c r="G24" s="1079">
        <v>0</v>
      </c>
      <c r="H24" s="766">
        <f t="shared" si="0"/>
        <v>0</v>
      </c>
      <c r="I24" s="766">
        <f t="shared" si="1"/>
        <v>0</v>
      </c>
      <c r="J24" s="757"/>
    </row>
    <row r="25" spans="1:10" ht="13.8" thickBot="1">
      <c r="A25" s="1092" t="s">
        <v>1903</v>
      </c>
      <c r="B25" s="1092" t="s">
        <v>1904</v>
      </c>
      <c r="C25" s="1092" t="s">
        <v>231</v>
      </c>
      <c r="D25" s="1093">
        <v>150</v>
      </c>
      <c r="E25" s="1094">
        <v>-150</v>
      </c>
      <c r="F25" s="756"/>
      <c r="G25" s="1094">
        <v>0</v>
      </c>
      <c r="H25" s="766">
        <f t="shared" si="0"/>
        <v>0</v>
      </c>
      <c r="I25" s="766">
        <f t="shared" si="1"/>
        <v>0</v>
      </c>
      <c r="J25" s="757"/>
    </row>
    <row r="26" spans="1:10" ht="21">
      <c r="A26" s="1087" t="s">
        <v>1905</v>
      </c>
      <c r="B26" s="1087" t="s">
        <v>1906</v>
      </c>
      <c r="C26" s="1087" t="s">
        <v>231</v>
      </c>
      <c r="D26" s="1088">
        <v>1180</v>
      </c>
      <c r="E26" s="1089">
        <v>1030</v>
      </c>
      <c r="F26" s="756"/>
      <c r="G26" s="1089">
        <v>0</v>
      </c>
      <c r="H26" s="766">
        <f t="shared" si="0"/>
        <v>0</v>
      </c>
      <c r="I26" s="766">
        <f t="shared" si="1"/>
        <v>0</v>
      </c>
      <c r="J26" s="757"/>
    </row>
    <row r="27" spans="1:10" ht="21">
      <c r="A27" s="1090" t="s">
        <v>1907</v>
      </c>
      <c r="B27" s="1090" t="s">
        <v>1908</v>
      </c>
      <c r="C27" s="1090" t="s">
        <v>231</v>
      </c>
      <c r="D27" s="1091">
        <v>160</v>
      </c>
      <c r="E27" s="1079">
        <v>-150</v>
      </c>
      <c r="F27" s="756"/>
      <c r="G27" s="1079">
        <v>0</v>
      </c>
      <c r="H27" s="766">
        <f t="shared" si="0"/>
        <v>0</v>
      </c>
      <c r="I27" s="766">
        <f t="shared" si="1"/>
        <v>0</v>
      </c>
      <c r="J27" s="757"/>
    </row>
    <row r="28" spans="1:10" ht="21">
      <c r="A28" s="1090" t="s">
        <v>1909</v>
      </c>
      <c r="B28" s="1090" t="s">
        <v>1910</v>
      </c>
      <c r="C28" s="1090" t="s">
        <v>231</v>
      </c>
      <c r="D28" s="1091">
        <v>320</v>
      </c>
      <c r="E28" s="1079">
        <v>-310</v>
      </c>
      <c r="F28" s="756"/>
      <c r="G28" s="1079">
        <v>0</v>
      </c>
      <c r="H28" s="766">
        <f t="shared" si="0"/>
        <v>0</v>
      </c>
      <c r="I28" s="766">
        <f t="shared" si="1"/>
        <v>0</v>
      </c>
      <c r="J28" s="757"/>
    </row>
    <row r="29" spans="1:10" ht="21">
      <c r="A29" s="1090" t="s">
        <v>1911</v>
      </c>
      <c r="B29" s="1090" t="s">
        <v>1912</v>
      </c>
      <c r="C29" s="1090" t="s">
        <v>231</v>
      </c>
      <c r="D29" s="1091">
        <v>1180</v>
      </c>
      <c r="E29" s="1079">
        <v>-1070</v>
      </c>
      <c r="F29" s="756"/>
      <c r="G29" s="1079">
        <v>0</v>
      </c>
      <c r="H29" s="766">
        <f t="shared" si="0"/>
        <v>0</v>
      </c>
      <c r="I29" s="766">
        <f t="shared" si="1"/>
        <v>0</v>
      </c>
      <c r="J29" s="757"/>
    </row>
    <row r="30" spans="1:10" ht="12.75">
      <c r="A30" s="1090" t="s">
        <v>1913</v>
      </c>
      <c r="B30" s="1090" t="s">
        <v>1914</v>
      </c>
      <c r="C30" s="1090" t="s">
        <v>231</v>
      </c>
      <c r="D30" s="1091">
        <v>1180</v>
      </c>
      <c r="E30" s="1079">
        <v>-1070</v>
      </c>
      <c r="F30" s="756"/>
      <c r="G30" s="1079">
        <v>0</v>
      </c>
      <c r="H30" s="766">
        <f t="shared" si="0"/>
        <v>0</v>
      </c>
      <c r="I30" s="766">
        <f t="shared" si="1"/>
        <v>0</v>
      </c>
      <c r="J30" s="757"/>
    </row>
    <row r="31" spans="1:10" ht="12.75">
      <c r="A31" s="1090" t="s">
        <v>1913</v>
      </c>
      <c r="B31" s="1090" t="s">
        <v>1914</v>
      </c>
      <c r="C31" s="1090" t="s">
        <v>231</v>
      </c>
      <c r="D31" s="1091">
        <v>10</v>
      </c>
      <c r="E31" s="1079">
        <v>-10</v>
      </c>
      <c r="F31" s="756"/>
      <c r="G31" s="1079">
        <v>0</v>
      </c>
      <c r="H31" s="766">
        <f t="shared" si="0"/>
        <v>0</v>
      </c>
      <c r="I31" s="766">
        <f t="shared" si="1"/>
        <v>0</v>
      </c>
      <c r="J31" s="757"/>
    </row>
    <row r="32" spans="1:10" ht="12.75">
      <c r="A32" s="1090" t="s">
        <v>1915</v>
      </c>
      <c r="B32" s="1090" t="s">
        <v>1916</v>
      </c>
      <c r="C32" s="1090" t="s">
        <v>231</v>
      </c>
      <c r="D32" s="1091">
        <v>160</v>
      </c>
      <c r="E32" s="1079">
        <v>-150</v>
      </c>
      <c r="F32" s="756"/>
      <c r="G32" s="1079">
        <v>0</v>
      </c>
      <c r="H32" s="766">
        <f t="shared" si="0"/>
        <v>0</v>
      </c>
      <c r="I32" s="766">
        <f t="shared" si="1"/>
        <v>0</v>
      </c>
      <c r="J32" s="757"/>
    </row>
    <row r="33" spans="1:10" ht="13.8" thickBot="1">
      <c r="A33" s="1092" t="s">
        <v>1917</v>
      </c>
      <c r="B33" s="1092" t="s">
        <v>1918</v>
      </c>
      <c r="C33" s="1092" t="s">
        <v>154</v>
      </c>
      <c r="D33" s="1093">
        <v>102.1</v>
      </c>
      <c r="E33" s="1094">
        <v>-92.9</v>
      </c>
      <c r="F33" s="756"/>
      <c r="G33" s="1094">
        <v>0</v>
      </c>
      <c r="H33" s="766">
        <f t="shared" si="0"/>
        <v>0</v>
      </c>
      <c r="I33" s="766">
        <f t="shared" si="1"/>
        <v>0</v>
      </c>
      <c r="J33" s="757"/>
    </row>
    <row r="34" spans="1:10" ht="21.6" thickBot="1">
      <c r="A34" s="758" t="s">
        <v>1919</v>
      </c>
      <c r="B34" s="758" t="s">
        <v>1920</v>
      </c>
      <c r="C34" s="758" t="s">
        <v>154</v>
      </c>
      <c r="D34" s="759">
        <v>1021</v>
      </c>
      <c r="E34" s="761">
        <v>-929</v>
      </c>
      <c r="F34" s="756"/>
      <c r="G34" s="761">
        <v>0</v>
      </c>
      <c r="H34" s="766">
        <f t="shared" si="0"/>
        <v>0</v>
      </c>
      <c r="I34" s="766">
        <f t="shared" si="1"/>
        <v>0</v>
      </c>
      <c r="J34" s="757"/>
    </row>
    <row r="35" spans="1:10" ht="13.8" thickBot="1">
      <c r="A35" s="758" t="s">
        <v>1921</v>
      </c>
      <c r="B35" s="758" t="s">
        <v>1922</v>
      </c>
      <c r="C35" s="758" t="s">
        <v>166</v>
      </c>
      <c r="D35" s="759">
        <v>20.7</v>
      </c>
      <c r="E35" s="761">
        <v>-20.7</v>
      </c>
      <c r="F35" s="756"/>
      <c r="G35" s="761">
        <v>0</v>
      </c>
      <c r="H35" s="766">
        <f t="shared" si="0"/>
        <v>0</v>
      </c>
      <c r="I35" s="766">
        <f t="shared" si="1"/>
        <v>0</v>
      </c>
      <c r="J35" s="757"/>
    </row>
    <row r="36" spans="1:10" ht="13.8" thickBot="1">
      <c r="A36" s="758" t="s">
        <v>1923</v>
      </c>
      <c r="B36" s="758" t="s">
        <v>1924</v>
      </c>
      <c r="C36" s="758" t="s">
        <v>166</v>
      </c>
      <c r="D36" s="759">
        <v>207</v>
      </c>
      <c r="E36" s="761">
        <v>-207</v>
      </c>
      <c r="F36" s="756"/>
      <c r="G36" s="761">
        <v>0</v>
      </c>
      <c r="H36" s="766">
        <f t="shared" si="0"/>
        <v>0</v>
      </c>
      <c r="I36" s="766">
        <f t="shared" si="1"/>
        <v>0</v>
      </c>
      <c r="J36" s="757"/>
    </row>
    <row r="37" spans="1:10" ht="13.8" thickBot="1">
      <c r="A37" s="758" t="s">
        <v>1925</v>
      </c>
      <c r="B37" s="758" t="s">
        <v>1926</v>
      </c>
      <c r="C37" s="758" t="s">
        <v>145</v>
      </c>
      <c r="D37" s="759">
        <v>48.75</v>
      </c>
      <c r="E37" s="761">
        <v>-48.75</v>
      </c>
      <c r="F37" s="756"/>
      <c r="G37" s="761">
        <v>0</v>
      </c>
      <c r="H37" s="766">
        <f t="shared" si="0"/>
        <v>0</v>
      </c>
      <c r="I37" s="766">
        <f t="shared" si="1"/>
        <v>0</v>
      </c>
      <c r="J37" s="757"/>
    </row>
    <row r="38" spans="1:10" ht="12.75">
      <c r="A38" s="754"/>
      <c r="B38" s="755"/>
      <c r="C38" s="756"/>
      <c r="D38" s="756"/>
      <c r="E38" s="756"/>
      <c r="F38" s="756"/>
      <c r="G38" s="756"/>
      <c r="H38" s="756"/>
      <c r="I38" s="756"/>
      <c r="J38" s="757"/>
    </row>
    <row r="39" spans="1:10" ht="12.75">
      <c r="A39" s="754"/>
      <c r="B39" s="755"/>
      <c r="C39" s="756"/>
      <c r="D39" s="756"/>
      <c r="E39" s="756"/>
      <c r="F39" s="756"/>
      <c r="G39" s="756"/>
      <c r="H39" s="756"/>
      <c r="I39" s="756"/>
      <c r="J39" s="757"/>
    </row>
    <row r="40" spans="1:7" ht="12.75">
      <c r="A40" s="749"/>
      <c r="B40" s="776"/>
      <c r="C40" s="776"/>
      <c r="D40" s="777"/>
      <c r="E40" s="777"/>
      <c r="F40" s="777"/>
      <c r="G40" s="777"/>
    </row>
    <row r="41" spans="2:10" ht="12.75">
      <c r="B41" s="740" t="s">
        <v>1582</v>
      </c>
      <c r="H41" s="778">
        <v>0</v>
      </c>
      <c r="I41" s="779"/>
      <c r="J41" s="778"/>
    </row>
    <row r="42" spans="2:10" ht="12.75">
      <c r="B42" s="740" t="s">
        <v>1583</v>
      </c>
      <c r="H42" s="780"/>
      <c r="I42" s="778">
        <f>SUM(I10:I37)</f>
        <v>0</v>
      </c>
      <c r="J42" s="780"/>
    </row>
    <row r="43" spans="2:10" ht="12.75">
      <c r="B43" s="740" t="s">
        <v>1584</v>
      </c>
      <c r="H43" s="780"/>
      <c r="I43" s="778"/>
      <c r="J43" s="778">
        <f>SUM(J10:J37)</f>
        <v>0</v>
      </c>
    </row>
    <row r="44" spans="8:10" ht="12.75">
      <c r="H44" s="780"/>
      <c r="I44" s="778"/>
      <c r="J44" s="778"/>
    </row>
    <row r="45" spans="2:10" ht="12.75">
      <c r="B45" s="740" t="s">
        <v>1585</v>
      </c>
      <c r="H45" s="780"/>
      <c r="I45" s="780"/>
      <c r="J45" s="781">
        <f>SUM(H41:J43)</f>
        <v>0</v>
      </c>
    </row>
    <row r="47" spans="2:10" ht="12.75">
      <c r="B47" s="740" t="s">
        <v>1504</v>
      </c>
      <c r="J47" s="780">
        <f>J45-H41</f>
        <v>0</v>
      </c>
    </row>
  </sheetData>
  <mergeCells count="1">
    <mergeCell ref="H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3:T35"/>
  <sheetViews>
    <sheetView workbookViewId="0" topLeftCell="A1">
      <pane ySplit="8" topLeftCell="A9" activePane="bottomLeft" state="frozen"/>
      <selection pane="topLeft" activeCell="B68" sqref="B68"/>
      <selection pane="bottomLeft" activeCell="H31" sqref="H31"/>
    </sheetView>
  </sheetViews>
  <sheetFormatPr defaultColWidth="9.125" defaultRowHeight="12.75"/>
  <cols>
    <col min="1" max="1" width="17.875" style="740" customWidth="1"/>
    <col min="2" max="2" width="45.875" style="740" customWidth="1"/>
    <col min="3" max="9" width="9.125" style="740" customWidth="1"/>
    <col min="10" max="10" width="10.50390625" style="740" customWidth="1"/>
    <col min="11" max="256" width="9.125" style="740" customWidth="1"/>
    <col min="257" max="257" width="17.875" style="740" customWidth="1"/>
    <col min="258" max="258" width="45.875" style="740" customWidth="1"/>
    <col min="259" max="265" width="9.125" style="740" customWidth="1"/>
    <col min="266" max="266" width="10.50390625" style="740" customWidth="1"/>
    <col min="267" max="512" width="9.125" style="740" customWidth="1"/>
    <col min="513" max="513" width="17.875" style="740" customWidth="1"/>
    <col min="514" max="514" width="45.875" style="740" customWidth="1"/>
    <col min="515" max="521" width="9.125" style="740" customWidth="1"/>
    <col min="522" max="522" width="10.50390625" style="740" customWidth="1"/>
    <col min="523" max="768" width="9.125" style="740" customWidth="1"/>
    <col min="769" max="769" width="17.875" style="740" customWidth="1"/>
    <col min="770" max="770" width="45.875" style="740" customWidth="1"/>
    <col min="771" max="777" width="9.125" style="740" customWidth="1"/>
    <col min="778" max="778" width="10.50390625" style="740" customWidth="1"/>
    <col min="779" max="1024" width="9.125" style="740" customWidth="1"/>
    <col min="1025" max="1025" width="17.875" style="740" customWidth="1"/>
    <col min="1026" max="1026" width="45.875" style="740" customWidth="1"/>
    <col min="1027" max="1033" width="9.125" style="740" customWidth="1"/>
    <col min="1034" max="1034" width="10.50390625" style="740" customWidth="1"/>
    <col min="1035" max="1280" width="9.125" style="740" customWidth="1"/>
    <col min="1281" max="1281" width="17.875" style="740" customWidth="1"/>
    <col min="1282" max="1282" width="45.875" style="740" customWidth="1"/>
    <col min="1283" max="1289" width="9.125" style="740" customWidth="1"/>
    <col min="1290" max="1290" width="10.50390625" style="740" customWidth="1"/>
    <col min="1291" max="1536" width="9.125" style="740" customWidth="1"/>
    <col min="1537" max="1537" width="17.875" style="740" customWidth="1"/>
    <col min="1538" max="1538" width="45.875" style="740" customWidth="1"/>
    <col min="1539" max="1545" width="9.125" style="740" customWidth="1"/>
    <col min="1546" max="1546" width="10.50390625" style="740" customWidth="1"/>
    <col min="1547" max="1792" width="9.125" style="740" customWidth="1"/>
    <col min="1793" max="1793" width="17.875" style="740" customWidth="1"/>
    <col min="1794" max="1794" width="45.875" style="740" customWidth="1"/>
    <col min="1795" max="1801" width="9.125" style="740" customWidth="1"/>
    <col min="1802" max="1802" width="10.50390625" style="740" customWidth="1"/>
    <col min="1803" max="2048" width="9.125" style="740" customWidth="1"/>
    <col min="2049" max="2049" width="17.875" style="740" customWidth="1"/>
    <col min="2050" max="2050" width="45.875" style="740" customWidth="1"/>
    <col min="2051" max="2057" width="9.125" style="740" customWidth="1"/>
    <col min="2058" max="2058" width="10.50390625" style="740" customWidth="1"/>
    <col min="2059" max="2304" width="9.125" style="740" customWidth="1"/>
    <col min="2305" max="2305" width="17.875" style="740" customWidth="1"/>
    <col min="2306" max="2306" width="45.875" style="740" customWidth="1"/>
    <col min="2307" max="2313" width="9.125" style="740" customWidth="1"/>
    <col min="2314" max="2314" width="10.50390625" style="740" customWidth="1"/>
    <col min="2315" max="2560" width="9.125" style="740" customWidth="1"/>
    <col min="2561" max="2561" width="17.875" style="740" customWidth="1"/>
    <col min="2562" max="2562" width="45.875" style="740" customWidth="1"/>
    <col min="2563" max="2569" width="9.125" style="740" customWidth="1"/>
    <col min="2570" max="2570" width="10.50390625" style="740" customWidth="1"/>
    <col min="2571" max="2816" width="9.125" style="740" customWidth="1"/>
    <col min="2817" max="2817" width="17.875" style="740" customWidth="1"/>
    <col min="2818" max="2818" width="45.875" style="740" customWidth="1"/>
    <col min="2819" max="2825" width="9.125" style="740" customWidth="1"/>
    <col min="2826" max="2826" width="10.50390625" style="740" customWidth="1"/>
    <col min="2827" max="3072" width="9.125" style="740" customWidth="1"/>
    <col min="3073" max="3073" width="17.875" style="740" customWidth="1"/>
    <col min="3074" max="3074" width="45.875" style="740" customWidth="1"/>
    <col min="3075" max="3081" width="9.125" style="740" customWidth="1"/>
    <col min="3082" max="3082" width="10.50390625" style="740" customWidth="1"/>
    <col min="3083" max="3328" width="9.125" style="740" customWidth="1"/>
    <col min="3329" max="3329" width="17.875" style="740" customWidth="1"/>
    <col min="3330" max="3330" width="45.875" style="740" customWidth="1"/>
    <col min="3331" max="3337" width="9.125" style="740" customWidth="1"/>
    <col min="3338" max="3338" width="10.50390625" style="740" customWidth="1"/>
    <col min="3339" max="3584" width="9.125" style="740" customWidth="1"/>
    <col min="3585" max="3585" width="17.875" style="740" customWidth="1"/>
    <col min="3586" max="3586" width="45.875" style="740" customWidth="1"/>
    <col min="3587" max="3593" width="9.125" style="740" customWidth="1"/>
    <col min="3594" max="3594" width="10.50390625" style="740" customWidth="1"/>
    <col min="3595" max="3840" width="9.125" style="740" customWidth="1"/>
    <col min="3841" max="3841" width="17.875" style="740" customWidth="1"/>
    <col min="3842" max="3842" width="45.875" style="740" customWidth="1"/>
    <col min="3843" max="3849" width="9.125" style="740" customWidth="1"/>
    <col min="3850" max="3850" width="10.50390625" style="740" customWidth="1"/>
    <col min="3851" max="4096" width="9.125" style="740" customWidth="1"/>
    <col min="4097" max="4097" width="17.875" style="740" customWidth="1"/>
    <col min="4098" max="4098" width="45.875" style="740" customWidth="1"/>
    <col min="4099" max="4105" width="9.125" style="740" customWidth="1"/>
    <col min="4106" max="4106" width="10.50390625" style="740" customWidth="1"/>
    <col min="4107" max="4352" width="9.125" style="740" customWidth="1"/>
    <col min="4353" max="4353" width="17.875" style="740" customWidth="1"/>
    <col min="4354" max="4354" width="45.875" style="740" customWidth="1"/>
    <col min="4355" max="4361" width="9.125" style="740" customWidth="1"/>
    <col min="4362" max="4362" width="10.50390625" style="740" customWidth="1"/>
    <col min="4363" max="4608" width="9.125" style="740" customWidth="1"/>
    <col min="4609" max="4609" width="17.875" style="740" customWidth="1"/>
    <col min="4610" max="4610" width="45.875" style="740" customWidth="1"/>
    <col min="4611" max="4617" width="9.125" style="740" customWidth="1"/>
    <col min="4618" max="4618" width="10.50390625" style="740" customWidth="1"/>
    <col min="4619" max="4864" width="9.125" style="740" customWidth="1"/>
    <col min="4865" max="4865" width="17.875" style="740" customWidth="1"/>
    <col min="4866" max="4866" width="45.875" style="740" customWidth="1"/>
    <col min="4867" max="4873" width="9.125" style="740" customWidth="1"/>
    <col min="4874" max="4874" width="10.50390625" style="740" customWidth="1"/>
    <col min="4875" max="5120" width="9.125" style="740" customWidth="1"/>
    <col min="5121" max="5121" width="17.875" style="740" customWidth="1"/>
    <col min="5122" max="5122" width="45.875" style="740" customWidth="1"/>
    <col min="5123" max="5129" width="9.125" style="740" customWidth="1"/>
    <col min="5130" max="5130" width="10.50390625" style="740" customWidth="1"/>
    <col min="5131" max="5376" width="9.125" style="740" customWidth="1"/>
    <col min="5377" max="5377" width="17.875" style="740" customWidth="1"/>
    <col min="5378" max="5378" width="45.875" style="740" customWidth="1"/>
    <col min="5379" max="5385" width="9.125" style="740" customWidth="1"/>
    <col min="5386" max="5386" width="10.50390625" style="740" customWidth="1"/>
    <col min="5387" max="5632" width="9.125" style="740" customWidth="1"/>
    <col min="5633" max="5633" width="17.875" style="740" customWidth="1"/>
    <col min="5634" max="5634" width="45.875" style="740" customWidth="1"/>
    <col min="5635" max="5641" width="9.125" style="740" customWidth="1"/>
    <col min="5642" max="5642" width="10.50390625" style="740" customWidth="1"/>
    <col min="5643" max="5888" width="9.125" style="740" customWidth="1"/>
    <col min="5889" max="5889" width="17.875" style="740" customWidth="1"/>
    <col min="5890" max="5890" width="45.875" style="740" customWidth="1"/>
    <col min="5891" max="5897" width="9.125" style="740" customWidth="1"/>
    <col min="5898" max="5898" width="10.50390625" style="740" customWidth="1"/>
    <col min="5899" max="6144" width="9.125" style="740" customWidth="1"/>
    <col min="6145" max="6145" width="17.875" style="740" customWidth="1"/>
    <col min="6146" max="6146" width="45.875" style="740" customWidth="1"/>
    <col min="6147" max="6153" width="9.125" style="740" customWidth="1"/>
    <col min="6154" max="6154" width="10.50390625" style="740" customWidth="1"/>
    <col min="6155" max="6400" width="9.125" style="740" customWidth="1"/>
    <col min="6401" max="6401" width="17.875" style="740" customWidth="1"/>
    <col min="6402" max="6402" width="45.875" style="740" customWidth="1"/>
    <col min="6403" max="6409" width="9.125" style="740" customWidth="1"/>
    <col min="6410" max="6410" width="10.50390625" style="740" customWidth="1"/>
    <col min="6411" max="6656" width="9.125" style="740" customWidth="1"/>
    <col min="6657" max="6657" width="17.875" style="740" customWidth="1"/>
    <col min="6658" max="6658" width="45.875" style="740" customWidth="1"/>
    <col min="6659" max="6665" width="9.125" style="740" customWidth="1"/>
    <col min="6666" max="6666" width="10.50390625" style="740" customWidth="1"/>
    <col min="6667" max="6912" width="9.125" style="740" customWidth="1"/>
    <col min="6913" max="6913" width="17.875" style="740" customWidth="1"/>
    <col min="6914" max="6914" width="45.875" style="740" customWidth="1"/>
    <col min="6915" max="6921" width="9.125" style="740" customWidth="1"/>
    <col min="6922" max="6922" width="10.50390625" style="740" customWidth="1"/>
    <col min="6923" max="7168" width="9.125" style="740" customWidth="1"/>
    <col min="7169" max="7169" width="17.875" style="740" customWidth="1"/>
    <col min="7170" max="7170" width="45.875" style="740" customWidth="1"/>
    <col min="7171" max="7177" width="9.125" style="740" customWidth="1"/>
    <col min="7178" max="7178" width="10.50390625" style="740" customWidth="1"/>
    <col min="7179" max="7424" width="9.125" style="740" customWidth="1"/>
    <col min="7425" max="7425" width="17.875" style="740" customWidth="1"/>
    <col min="7426" max="7426" width="45.875" style="740" customWidth="1"/>
    <col min="7427" max="7433" width="9.125" style="740" customWidth="1"/>
    <col min="7434" max="7434" width="10.50390625" style="740" customWidth="1"/>
    <col min="7435" max="7680" width="9.125" style="740" customWidth="1"/>
    <col min="7681" max="7681" width="17.875" style="740" customWidth="1"/>
    <col min="7682" max="7682" width="45.875" style="740" customWidth="1"/>
    <col min="7683" max="7689" width="9.125" style="740" customWidth="1"/>
    <col min="7690" max="7690" width="10.50390625" style="740" customWidth="1"/>
    <col min="7691" max="7936" width="9.125" style="740" customWidth="1"/>
    <col min="7937" max="7937" width="17.875" style="740" customWidth="1"/>
    <col min="7938" max="7938" width="45.875" style="740" customWidth="1"/>
    <col min="7939" max="7945" width="9.125" style="740" customWidth="1"/>
    <col min="7946" max="7946" width="10.50390625" style="740" customWidth="1"/>
    <col min="7947" max="8192" width="9.125" style="740" customWidth="1"/>
    <col min="8193" max="8193" width="17.875" style="740" customWidth="1"/>
    <col min="8194" max="8194" width="45.875" style="740" customWidth="1"/>
    <col min="8195" max="8201" width="9.125" style="740" customWidth="1"/>
    <col min="8202" max="8202" width="10.50390625" style="740" customWidth="1"/>
    <col min="8203" max="8448" width="9.125" style="740" customWidth="1"/>
    <col min="8449" max="8449" width="17.875" style="740" customWidth="1"/>
    <col min="8450" max="8450" width="45.875" style="740" customWidth="1"/>
    <col min="8451" max="8457" width="9.125" style="740" customWidth="1"/>
    <col min="8458" max="8458" width="10.50390625" style="740" customWidth="1"/>
    <col min="8459" max="8704" width="9.125" style="740" customWidth="1"/>
    <col min="8705" max="8705" width="17.875" style="740" customWidth="1"/>
    <col min="8706" max="8706" width="45.875" style="740" customWidth="1"/>
    <col min="8707" max="8713" width="9.125" style="740" customWidth="1"/>
    <col min="8714" max="8714" width="10.50390625" style="740" customWidth="1"/>
    <col min="8715" max="8960" width="9.125" style="740" customWidth="1"/>
    <col min="8961" max="8961" width="17.875" style="740" customWidth="1"/>
    <col min="8962" max="8962" width="45.875" style="740" customWidth="1"/>
    <col min="8963" max="8969" width="9.125" style="740" customWidth="1"/>
    <col min="8970" max="8970" width="10.50390625" style="740" customWidth="1"/>
    <col min="8971" max="9216" width="9.125" style="740" customWidth="1"/>
    <col min="9217" max="9217" width="17.875" style="740" customWidth="1"/>
    <col min="9218" max="9218" width="45.875" style="740" customWidth="1"/>
    <col min="9219" max="9225" width="9.125" style="740" customWidth="1"/>
    <col min="9226" max="9226" width="10.50390625" style="740" customWidth="1"/>
    <col min="9227" max="9472" width="9.125" style="740" customWidth="1"/>
    <col min="9473" max="9473" width="17.875" style="740" customWidth="1"/>
    <col min="9474" max="9474" width="45.875" style="740" customWidth="1"/>
    <col min="9475" max="9481" width="9.125" style="740" customWidth="1"/>
    <col min="9482" max="9482" width="10.50390625" style="740" customWidth="1"/>
    <col min="9483" max="9728" width="9.125" style="740" customWidth="1"/>
    <col min="9729" max="9729" width="17.875" style="740" customWidth="1"/>
    <col min="9730" max="9730" width="45.875" style="740" customWidth="1"/>
    <col min="9731" max="9737" width="9.125" style="740" customWidth="1"/>
    <col min="9738" max="9738" width="10.50390625" style="740" customWidth="1"/>
    <col min="9739" max="9984" width="9.125" style="740" customWidth="1"/>
    <col min="9985" max="9985" width="17.875" style="740" customWidth="1"/>
    <col min="9986" max="9986" width="45.875" style="740" customWidth="1"/>
    <col min="9987" max="9993" width="9.125" style="740" customWidth="1"/>
    <col min="9994" max="9994" width="10.50390625" style="740" customWidth="1"/>
    <col min="9995" max="10240" width="9.125" style="740" customWidth="1"/>
    <col min="10241" max="10241" width="17.875" style="740" customWidth="1"/>
    <col min="10242" max="10242" width="45.875" style="740" customWidth="1"/>
    <col min="10243" max="10249" width="9.125" style="740" customWidth="1"/>
    <col min="10250" max="10250" width="10.50390625" style="740" customWidth="1"/>
    <col min="10251" max="10496" width="9.125" style="740" customWidth="1"/>
    <col min="10497" max="10497" width="17.875" style="740" customWidth="1"/>
    <col min="10498" max="10498" width="45.875" style="740" customWidth="1"/>
    <col min="10499" max="10505" width="9.125" style="740" customWidth="1"/>
    <col min="10506" max="10506" width="10.50390625" style="740" customWidth="1"/>
    <col min="10507" max="10752" width="9.125" style="740" customWidth="1"/>
    <col min="10753" max="10753" width="17.875" style="740" customWidth="1"/>
    <col min="10754" max="10754" width="45.875" style="740" customWidth="1"/>
    <col min="10755" max="10761" width="9.125" style="740" customWidth="1"/>
    <col min="10762" max="10762" width="10.50390625" style="740" customWidth="1"/>
    <col min="10763" max="11008" width="9.125" style="740" customWidth="1"/>
    <col min="11009" max="11009" width="17.875" style="740" customWidth="1"/>
    <col min="11010" max="11010" width="45.875" style="740" customWidth="1"/>
    <col min="11011" max="11017" width="9.125" style="740" customWidth="1"/>
    <col min="11018" max="11018" width="10.50390625" style="740" customWidth="1"/>
    <col min="11019" max="11264" width="9.125" style="740" customWidth="1"/>
    <col min="11265" max="11265" width="17.875" style="740" customWidth="1"/>
    <col min="11266" max="11266" width="45.875" style="740" customWidth="1"/>
    <col min="11267" max="11273" width="9.125" style="740" customWidth="1"/>
    <col min="11274" max="11274" width="10.50390625" style="740" customWidth="1"/>
    <col min="11275" max="11520" width="9.125" style="740" customWidth="1"/>
    <col min="11521" max="11521" width="17.875" style="740" customWidth="1"/>
    <col min="11522" max="11522" width="45.875" style="740" customWidth="1"/>
    <col min="11523" max="11529" width="9.125" style="740" customWidth="1"/>
    <col min="11530" max="11530" width="10.50390625" style="740" customWidth="1"/>
    <col min="11531" max="11776" width="9.125" style="740" customWidth="1"/>
    <col min="11777" max="11777" width="17.875" style="740" customWidth="1"/>
    <col min="11778" max="11778" width="45.875" style="740" customWidth="1"/>
    <col min="11779" max="11785" width="9.125" style="740" customWidth="1"/>
    <col min="11786" max="11786" width="10.50390625" style="740" customWidth="1"/>
    <col min="11787" max="12032" width="9.125" style="740" customWidth="1"/>
    <col min="12033" max="12033" width="17.875" style="740" customWidth="1"/>
    <col min="12034" max="12034" width="45.875" style="740" customWidth="1"/>
    <col min="12035" max="12041" width="9.125" style="740" customWidth="1"/>
    <col min="12042" max="12042" width="10.50390625" style="740" customWidth="1"/>
    <col min="12043" max="12288" width="9.125" style="740" customWidth="1"/>
    <col min="12289" max="12289" width="17.875" style="740" customWidth="1"/>
    <col min="12290" max="12290" width="45.875" style="740" customWidth="1"/>
    <col min="12291" max="12297" width="9.125" style="740" customWidth="1"/>
    <col min="12298" max="12298" width="10.50390625" style="740" customWidth="1"/>
    <col min="12299" max="12544" width="9.125" style="740" customWidth="1"/>
    <col min="12545" max="12545" width="17.875" style="740" customWidth="1"/>
    <col min="12546" max="12546" width="45.875" style="740" customWidth="1"/>
    <col min="12547" max="12553" width="9.125" style="740" customWidth="1"/>
    <col min="12554" max="12554" width="10.50390625" style="740" customWidth="1"/>
    <col min="12555" max="12800" width="9.125" style="740" customWidth="1"/>
    <col min="12801" max="12801" width="17.875" style="740" customWidth="1"/>
    <col min="12802" max="12802" width="45.875" style="740" customWidth="1"/>
    <col min="12803" max="12809" width="9.125" style="740" customWidth="1"/>
    <col min="12810" max="12810" width="10.50390625" style="740" customWidth="1"/>
    <col min="12811" max="13056" width="9.125" style="740" customWidth="1"/>
    <col min="13057" max="13057" width="17.875" style="740" customWidth="1"/>
    <col min="13058" max="13058" width="45.875" style="740" customWidth="1"/>
    <col min="13059" max="13065" width="9.125" style="740" customWidth="1"/>
    <col min="13066" max="13066" width="10.50390625" style="740" customWidth="1"/>
    <col min="13067" max="13312" width="9.125" style="740" customWidth="1"/>
    <col min="13313" max="13313" width="17.875" style="740" customWidth="1"/>
    <col min="13314" max="13314" width="45.875" style="740" customWidth="1"/>
    <col min="13315" max="13321" width="9.125" style="740" customWidth="1"/>
    <col min="13322" max="13322" width="10.50390625" style="740" customWidth="1"/>
    <col min="13323" max="13568" width="9.125" style="740" customWidth="1"/>
    <col min="13569" max="13569" width="17.875" style="740" customWidth="1"/>
    <col min="13570" max="13570" width="45.875" style="740" customWidth="1"/>
    <col min="13571" max="13577" width="9.125" style="740" customWidth="1"/>
    <col min="13578" max="13578" width="10.50390625" style="740" customWidth="1"/>
    <col min="13579" max="13824" width="9.125" style="740" customWidth="1"/>
    <col min="13825" max="13825" width="17.875" style="740" customWidth="1"/>
    <col min="13826" max="13826" width="45.875" style="740" customWidth="1"/>
    <col min="13827" max="13833" width="9.125" style="740" customWidth="1"/>
    <col min="13834" max="13834" width="10.50390625" style="740" customWidth="1"/>
    <col min="13835" max="14080" width="9.125" style="740" customWidth="1"/>
    <col min="14081" max="14081" width="17.875" style="740" customWidth="1"/>
    <col min="14082" max="14082" width="45.875" style="740" customWidth="1"/>
    <col min="14083" max="14089" width="9.125" style="740" customWidth="1"/>
    <col min="14090" max="14090" width="10.50390625" style="740" customWidth="1"/>
    <col min="14091" max="14336" width="9.125" style="740" customWidth="1"/>
    <col min="14337" max="14337" width="17.875" style="740" customWidth="1"/>
    <col min="14338" max="14338" width="45.875" style="740" customWidth="1"/>
    <col min="14339" max="14345" width="9.125" style="740" customWidth="1"/>
    <col min="14346" max="14346" width="10.50390625" style="740" customWidth="1"/>
    <col min="14347" max="14592" width="9.125" style="740" customWidth="1"/>
    <col min="14593" max="14593" width="17.875" style="740" customWidth="1"/>
    <col min="14594" max="14594" width="45.875" style="740" customWidth="1"/>
    <col min="14595" max="14601" width="9.125" style="740" customWidth="1"/>
    <col min="14602" max="14602" width="10.50390625" style="740" customWidth="1"/>
    <col min="14603" max="14848" width="9.125" style="740" customWidth="1"/>
    <col min="14849" max="14849" width="17.875" style="740" customWidth="1"/>
    <col min="14850" max="14850" width="45.875" style="740" customWidth="1"/>
    <col min="14851" max="14857" width="9.125" style="740" customWidth="1"/>
    <col min="14858" max="14858" width="10.50390625" style="740" customWidth="1"/>
    <col min="14859" max="15104" width="9.125" style="740" customWidth="1"/>
    <col min="15105" max="15105" width="17.875" style="740" customWidth="1"/>
    <col min="15106" max="15106" width="45.875" style="740" customWidth="1"/>
    <col min="15107" max="15113" width="9.125" style="740" customWidth="1"/>
    <col min="15114" max="15114" width="10.50390625" style="740" customWidth="1"/>
    <col min="15115" max="15360" width="9.125" style="740" customWidth="1"/>
    <col min="15361" max="15361" width="17.875" style="740" customWidth="1"/>
    <col min="15362" max="15362" width="45.875" style="740" customWidth="1"/>
    <col min="15363" max="15369" width="9.125" style="740" customWidth="1"/>
    <col min="15370" max="15370" width="10.50390625" style="740" customWidth="1"/>
    <col min="15371" max="15616" width="9.125" style="740" customWidth="1"/>
    <col min="15617" max="15617" width="17.875" style="740" customWidth="1"/>
    <col min="15618" max="15618" width="45.875" style="740" customWidth="1"/>
    <col min="15619" max="15625" width="9.125" style="740" customWidth="1"/>
    <col min="15626" max="15626" width="10.50390625" style="740" customWidth="1"/>
    <col min="15627" max="15872" width="9.125" style="740" customWidth="1"/>
    <col min="15873" max="15873" width="17.875" style="740" customWidth="1"/>
    <col min="15874" max="15874" width="45.875" style="740" customWidth="1"/>
    <col min="15875" max="15881" width="9.125" style="740" customWidth="1"/>
    <col min="15882" max="15882" width="10.50390625" style="740" customWidth="1"/>
    <col min="15883" max="16128" width="9.125" style="740" customWidth="1"/>
    <col min="16129" max="16129" width="17.875" style="740" customWidth="1"/>
    <col min="16130" max="16130" width="45.875" style="740" customWidth="1"/>
    <col min="16131" max="16137" width="9.125" style="740" customWidth="1"/>
    <col min="16138" max="16138" width="10.50390625" style="740" customWidth="1"/>
    <col min="16139" max="16384" width="9.125" style="740" customWidth="1"/>
  </cols>
  <sheetData>
    <row r="3" spans="1:10" ht="12.75">
      <c r="A3" s="736"/>
      <c r="B3" s="737" t="s">
        <v>1571</v>
      </c>
      <c r="C3" s="738"/>
      <c r="D3" s="739"/>
      <c r="E3" s="739"/>
      <c r="F3" s="739"/>
      <c r="G3" s="739"/>
      <c r="H3" s="739"/>
      <c r="I3" s="739"/>
      <c r="J3" s="738"/>
    </row>
    <row r="4" spans="1:10" ht="12.75">
      <c r="A4" s="736"/>
      <c r="B4" s="741" t="s">
        <v>1572</v>
      </c>
      <c r="C4" s="738"/>
      <c r="D4" s="739"/>
      <c r="E4" s="739"/>
      <c r="F4" s="739"/>
      <c r="G4" s="739"/>
      <c r="H4" s="739"/>
      <c r="I4" s="739"/>
      <c r="J4" s="738"/>
    </row>
    <row r="5" spans="1:10" ht="12.75">
      <c r="A5" s="736"/>
      <c r="B5" s="742" t="s">
        <v>1927</v>
      </c>
      <c r="C5" s="738"/>
      <c r="D5" s="739"/>
      <c r="E5" s="739"/>
      <c r="F5" s="739"/>
      <c r="G5" s="739"/>
      <c r="H5" s="739"/>
      <c r="I5" s="739"/>
      <c r="J5" s="738"/>
    </row>
    <row r="6" spans="1:10" ht="12.75">
      <c r="A6" s="736"/>
      <c r="B6" s="738" t="s">
        <v>1574</v>
      </c>
      <c r="C6" s="743" t="s">
        <v>1450</v>
      </c>
      <c r="D6" s="744"/>
      <c r="E6" s="744"/>
      <c r="F6" s="744"/>
      <c r="G6" s="744"/>
      <c r="H6" s="744"/>
      <c r="I6" s="744"/>
      <c r="J6" s="738"/>
    </row>
    <row r="7" spans="1:10" ht="14.4">
      <c r="A7" s="745" t="s">
        <v>1070</v>
      </c>
      <c r="B7" s="746" t="s">
        <v>1071</v>
      </c>
      <c r="C7" s="746" t="s">
        <v>1072</v>
      </c>
      <c r="D7" s="787" t="s">
        <v>133</v>
      </c>
      <c r="E7" s="1076"/>
      <c r="F7" s="1076"/>
      <c r="G7" s="746" t="s">
        <v>1575</v>
      </c>
      <c r="H7" s="1632" t="s">
        <v>1129</v>
      </c>
      <c r="I7" s="1699"/>
      <c r="J7" s="1700"/>
    </row>
    <row r="8" spans="1:10" ht="77.25" customHeight="1">
      <c r="A8" s="749"/>
      <c r="B8" s="750"/>
      <c r="C8" s="751"/>
      <c r="D8" s="752" t="s">
        <v>1576</v>
      </c>
      <c r="E8" s="752" t="s">
        <v>1577</v>
      </c>
      <c r="F8" s="752" t="s">
        <v>1578</v>
      </c>
      <c r="G8" s="752"/>
      <c r="H8" s="752" t="s">
        <v>1576</v>
      </c>
      <c r="I8" s="753" t="s">
        <v>1579</v>
      </c>
      <c r="J8" s="752" t="s">
        <v>1578</v>
      </c>
    </row>
    <row r="9" spans="1:10" ht="12.75">
      <c r="A9" s="754"/>
      <c r="B9" s="755"/>
      <c r="C9" s="756"/>
      <c r="D9" s="756"/>
      <c r="E9" s="756"/>
      <c r="F9" s="756"/>
      <c r="G9" s="756"/>
      <c r="H9" s="756"/>
      <c r="I9" s="756"/>
      <c r="J9" s="757"/>
    </row>
    <row r="10" spans="1:20" ht="21">
      <c r="A10" s="1095" t="s">
        <v>1905</v>
      </c>
      <c r="B10" s="1095" t="s">
        <v>1906</v>
      </c>
      <c r="C10" s="1095" t="s">
        <v>231</v>
      </c>
      <c r="D10" s="1096">
        <v>340</v>
      </c>
      <c r="E10" s="1096">
        <v>-125</v>
      </c>
      <c r="F10" s="756"/>
      <c r="G10" s="1097">
        <v>0</v>
      </c>
      <c r="H10" s="766">
        <f aca="true" t="shared" si="0" ref="H10:H25">D10*G10</f>
        <v>0</v>
      </c>
      <c r="I10" s="766">
        <f>E10*G10</f>
        <v>0</v>
      </c>
      <c r="J10" s="757"/>
      <c r="M10" s="1098"/>
      <c r="N10" s="1098"/>
      <c r="O10" s="1099">
        <v>195</v>
      </c>
      <c r="P10" s="1098">
        <v>2</v>
      </c>
      <c r="Q10" s="1098">
        <f>O10*P10</f>
        <v>390</v>
      </c>
      <c r="R10" s="1098"/>
      <c r="S10" s="1098">
        <f>O10*0.35*0.15</f>
        <v>10.237499999999999</v>
      </c>
      <c r="T10" s="1098"/>
    </row>
    <row r="11" spans="1:20" ht="21">
      <c r="A11" s="1095" t="s">
        <v>1928</v>
      </c>
      <c r="B11" s="1095" t="s">
        <v>1929</v>
      </c>
      <c r="C11" s="1095" t="s">
        <v>231</v>
      </c>
      <c r="D11" s="1096">
        <v>50</v>
      </c>
      <c r="E11" s="1096">
        <v>65</v>
      </c>
      <c r="F11" s="756"/>
      <c r="G11" s="1097">
        <v>0</v>
      </c>
      <c r="H11" s="766">
        <f t="shared" si="0"/>
        <v>0</v>
      </c>
      <c r="I11" s="766">
        <f>E11*G11</f>
        <v>0</v>
      </c>
      <c r="J11" s="757"/>
      <c r="M11" s="1098"/>
      <c r="N11" s="1098"/>
      <c r="O11" s="1099">
        <f>D11+E11</f>
        <v>115</v>
      </c>
      <c r="P11" s="1098">
        <v>2</v>
      </c>
      <c r="Q11" s="1098">
        <f>O11*P11</f>
        <v>230</v>
      </c>
      <c r="R11" s="1098"/>
      <c r="S11" s="1098">
        <f>O11*0.5*0.15</f>
        <v>8.625</v>
      </c>
      <c r="T11" s="1098"/>
    </row>
    <row r="12" spans="1:20" ht="21">
      <c r="A12" s="1095" t="s">
        <v>1930</v>
      </c>
      <c r="B12" s="1095" t="s">
        <v>1931</v>
      </c>
      <c r="C12" s="1095" t="s">
        <v>231</v>
      </c>
      <c r="D12" s="1096">
        <v>90</v>
      </c>
      <c r="E12" s="1096">
        <v>15</v>
      </c>
      <c r="F12" s="756"/>
      <c r="G12" s="1097">
        <v>0</v>
      </c>
      <c r="H12" s="766">
        <f t="shared" si="0"/>
        <v>0</v>
      </c>
      <c r="I12" s="766">
        <f>E12*G12</f>
        <v>0</v>
      </c>
      <c r="J12" s="757"/>
      <c r="M12" s="1098"/>
      <c r="N12" s="1098"/>
      <c r="O12" s="1099">
        <f>D12+E12</f>
        <v>105</v>
      </c>
      <c r="P12" s="1100">
        <v>3</v>
      </c>
      <c r="Q12" s="1098">
        <f>O12*P12</f>
        <v>315</v>
      </c>
      <c r="R12" s="1098"/>
      <c r="S12" s="1098">
        <f>O12*0.65*0.15</f>
        <v>10.237499999999999</v>
      </c>
      <c r="T12" s="1098"/>
    </row>
    <row r="13" spans="1:20" ht="21">
      <c r="A13" s="1095" t="s">
        <v>1932</v>
      </c>
      <c r="B13" s="1095" t="s">
        <v>1933</v>
      </c>
      <c r="C13" s="1095" t="s">
        <v>231</v>
      </c>
      <c r="D13" s="1096">
        <v>120</v>
      </c>
      <c r="E13" s="1096">
        <v>-25</v>
      </c>
      <c r="F13" s="756"/>
      <c r="G13" s="1097">
        <v>0</v>
      </c>
      <c r="H13" s="766">
        <f t="shared" si="0"/>
        <v>0</v>
      </c>
      <c r="I13" s="766">
        <f>E13*G13</f>
        <v>0</v>
      </c>
      <c r="J13" s="757"/>
      <c r="M13" s="1098"/>
      <c r="N13" s="1098"/>
      <c r="O13" s="1099">
        <f>D13+E13</f>
        <v>95</v>
      </c>
      <c r="P13" s="1098">
        <v>4</v>
      </c>
      <c r="Q13" s="1098">
        <f>O13*P13</f>
        <v>380</v>
      </c>
      <c r="R13" s="1098"/>
      <c r="S13" s="1098">
        <f>O13*0.8*0.2</f>
        <v>15.200000000000001</v>
      </c>
      <c r="T13" s="1098"/>
    </row>
    <row r="14" spans="1:20" ht="21.6" thickBot="1">
      <c r="A14" s="1095" t="s">
        <v>1934</v>
      </c>
      <c r="B14" s="1095" t="s">
        <v>1935</v>
      </c>
      <c r="C14" s="1095" t="s">
        <v>231</v>
      </c>
      <c r="D14" s="1096">
        <v>20</v>
      </c>
      <c r="E14" s="1096">
        <v>-20</v>
      </c>
      <c r="F14" s="760"/>
      <c r="G14" s="1097">
        <v>0</v>
      </c>
      <c r="H14" s="766">
        <f t="shared" si="0"/>
        <v>0</v>
      </c>
      <c r="I14" s="766">
        <f>E14*G14</f>
        <v>0</v>
      </c>
      <c r="J14" s="757"/>
      <c r="M14" s="1098"/>
      <c r="N14" s="1098"/>
      <c r="O14" s="1099">
        <f>D14+E14</f>
        <v>0</v>
      </c>
      <c r="P14" s="1098"/>
      <c r="Q14" s="1098"/>
      <c r="R14" s="1098"/>
      <c r="S14" s="1098" t="s">
        <v>1</v>
      </c>
      <c r="T14" s="1098"/>
    </row>
    <row r="15" spans="1:20" ht="21">
      <c r="A15" s="1101">
        <v>460201043</v>
      </c>
      <c r="B15" s="1102" t="s">
        <v>1936</v>
      </c>
      <c r="C15" s="1101" t="s">
        <v>231</v>
      </c>
      <c r="D15" s="1103"/>
      <c r="E15" s="1103"/>
      <c r="F15" s="1096">
        <v>110</v>
      </c>
      <c r="G15" s="1104">
        <v>0</v>
      </c>
      <c r="H15" s="766"/>
      <c r="I15" s="756"/>
      <c r="J15" s="766">
        <f>F15*G15</f>
        <v>0</v>
      </c>
      <c r="M15" s="1098"/>
      <c r="N15" s="1098"/>
      <c r="O15" s="1099">
        <f>F15</f>
        <v>110</v>
      </c>
      <c r="P15" s="1098">
        <v>5</v>
      </c>
      <c r="Q15" s="1098">
        <f>O15*P15</f>
        <v>550</v>
      </c>
      <c r="R15" s="1098"/>
      <c r="S15" s="1098">
        <f>O15*1*0.15</f>
        <v>16.5</v>
      </c>
      <c r="T15" s="1098"/>
    </row>
    <row r="16" spans="1:20" ht="21.6" thickBot="1">
      <c r="A16" s="1105" t="s">
        <v>1909</v>
      </c>
      <c r="B16" s="1105" t="s">
        <v>1910</v>
      </c>
      <c r="C16" s="1105" t="s">
        <v>231</v>
      </c>
      <c r="D16" s="1106">
        <v>147.692</v>
      </c>
      <c r="E16" s="1106">
        <v>-147.692</v>
      </c>
      <c r="F16" s="760"/>
      <c r="G16" s="1107">
        <v>0</v>
      </c>
      <c r="H16" s="766">
        <f t="shared" si="0"/>
        <v>0</v>
      </c>
      <c r="I16" s="766">
        <f aca="true" t="shared" si="1" ref="I16:I25">E16*G16</f>
        <v>0</v>
      </c>
      <c r="J16" s="757"/>
      <c r="M16" s="1098"/>
      <c r="N16" s="1098"/>
      <c r="O16" s="1098"/>
      <c r="P16" s="1098"/>
      <c r="Q16" s="1098"/>
      <c r="R16" s="1098"/>
      <c r="S16" s="1098" t="s">
        <v>1</v>
      </c>
      <c r="T16" s="1098"/>
    </row>
    <row r="17" spans="1:20" ht="21.6" thickBot="1">
      <c r="A17" s="1108" t="s">
        <v>1911</v>
      </c>
      <c r="B17" s="1108" t="s">
        <v>1912</v>
      </c>
      <c r="C17" s="1108" t="s">
        <v>231</v>
      </c>
      <c r="D17" s="1109">
        <v>600</v>
      </c>
      <c r="E17" s="1109">
        <v>1265</v>
      </c>
      <c r="F17" s="756"/>
      <c r="G17" s="1110">
        <v>0</v>
      </c>
      <c r="H17" s="766">
        <f t="shared" si="0"/>
        <v>0</v>
      </c>
      <c r="I17" s="766">
        <f t="shared" si="1"/>
        <v>0</v>
      </c>
      <c r="J17" s="757"/>
      <c r="M17" s="1098"/>
      <c r="N17" s="1098"/>
      <c r="O17" s="1099">
        <f>SUM(O10:O16)</f>
        <v>620</v>
      </c>
      <c r="P17" s="1098"/>
      <c r="Q17" s="1098">
        <f>SUM(Q10:Q15)</f>
        <v>1865</v>
      </c>
      <c r="R17" s="1098"/>
      <c r="S17" s="1098">
        <f>SUM(S10:S15)</f>
        <v>60.8</v>
      </c>
      <c r="T17" s="1098"/>
    </row>
    <row r="18" spans="1:20" ht="12.75">
      <c r="A18" s="1095" t="s">
        <v>1913</v>
      </c>
      <c r="B18" s="1095" t="s">
        <v>1914</v>
      </c>
      <c r="C18" s="1095" t="s">
        <v>231</v>
      </c>
      <c r="D18" s="1096">
        <v>340</v>
      </c>
      <c r="E18" s="1096">
        <v>-125</v>
      </c>
      <c r="F18" s="756"/>
      <c r="G18" s="1097">
        <v>0</v>
      </c>
      <c r="H18" s="766">
        <f t="shared" si="0"/>
        <v>0</v>
      </c>
      <c r="I18" s="766">
        <f t="shared" si="1"/>
        <v>0</v>
      </c>
      <c r="J18" s="757"/>
      <c r="M18" s="1098"/>
      <c r="N18" s="1098"/>
      <c r="O18" s="1098"/>
      <c r="P18" s="1098"/>
      <c r="Q18" s="1098"/>
      <c r="R18" s="1098"/>
      <c r="S18" s="1100">
        <f>D24</f>
        <v>23.8</v>
      </c>
      <c r="T18" s="1098"/>
    </row>
    <row r="19" spans="1:20" ht="12.75">
      <c r="A19" s="1095" t="s">
        <v>1937</v>
      </c>
      <c r="B19" s="1095" t="s">
        <v>1938</v>
      </c>
      <c r="C19" s="1095" t="s">
        <v>231</v>
      </c>
      <c r="D19" s="1096">
        <v>50</v>
      </c>
      <c r="E19" s="1096">
        <v>65</v>
      </c>
      <c r="F19" s="756"/>
      <c r="G19" s="1097">
        <v>0</v>
      </c>
      <c r="H19" s="766">
        <f t="shared" si="0"/>
        <v>0</v>
      </c>
      <c r="I19" s="766">
        <f t="shared" si="1"/>
        <v>0</v>
      </c>
      <c r="J19" s="757"/>
      <c r="M19" s="1098"/>
      <c r="N19" s="1098"/>
      <c r="O19" s="1098"/>
      <c r="P19" s="1098"/>
      <c r="Q19" s="1098"/>
      <c r="R19" s="1098"/>
      <c r="S19" s="1098"/>
      <c r="T19" s="1098"/>
    </row>
    <row r="20" spans="1:20" ht="12.75">
      <c r="A20" s="1095" t="s">
        <v>1937</v>
      </c>
      <c r="B20" s="1095" t="s">
        <v>1939</v>
      </c>
      <c r="C20" s="1095" t="s">
        <v>231</v>
      </c>
      <c r="D20" s="1096">
        <v>50</v>
      </c>
      <c r="E20" s="1096">
        <v>15</v>
      </c>
      <c r="F20" s="756"/>
      <c r="G20" s="1097">
        <v>0</v>
      </c>
      <c r="H20" s="766">
        <f t="shared" si="0"/>
        <v>0</v>
      </c>
      <c r="I20" s="766">
        <f t="shared" si="1"/>
        <v>0</v>
      </c>
      <c r="J20" s="757"/>
      <c r="M20" s="1098"/>
      <c r="N20" s="1098"/>
      <c r="O20" s="1098"/>
      <c r="P20" s="1098"/>
      <c r="Q20" s="1098"/>
      <c r="R20" s="1098"/>
      <c r="S20" s="1099">
        <f>S17-S18</f>
        <v>37</v>
      </c>
      <c r="T20" s="1098"/>
    </row>
    <row r="21" spans="1:20" ht="12.75">
      <c r="A21" s="1095" t="s">
        <v>1940</v>
      </c>
      <c r="B21" s="1095" t="s">
        <v>1941</v>
      </c>
      <c r="C21" s="1095" t="s">
        <v>231</v>
      </c>
      <c r="D21" s="1096">
        <v>120</v>
      </c>
      <c r="E21" s="1096">
        <v>-25</v>
      </c>
      <c r="F21" s="756"/>
      <c r="G21" s="1097">
        <v>0</v>
      </c>
      <c r="H21" s="766">
        <f t="shared" si="0"/>
        <v>0</v>
      </c>
      <c r="I21" s="766">
        <f t="shared" si="1"/>
        <v>0</v>
      </c>
      <c r="J21" s="757"/>
      <c r="M21" s="1098"/>
      <c r="N21" s="1098"/>
      <c r="O21" s="1098"/>
      <c r="P21" s="1098"/>
      <c r="Q21" s="1098"/>
      <c r="R21" s="1098"/>
      <c r="S21" s="1098"/>
      <c r="T21" s="1098"/>
    </row>
    <row r="22" spans="1:20" ht="13.8" thickBot="1">
      <c r="A22" s="1095" t="s">
        <v>1942</v>
      </c>
      <c r="B22" s="1095" t="s">
        <v>1943</v>
      </c>
      <c r="C22" s="1095" t="s">
        <v>231</v>
      </c>
      <c r="D22" s="1096">
        <v>20</v>
      </c>
      <c r="E22" s="1096">
        <v>-20</v>
      </c>
      <c r="F22" s="760"/>
      <c r="G22" s="1097">
        <v>0</v>
      </c>
      <c r="H22" s="766">
        <f t="shared" si="0"/>
        <v>0</v>
      </c>
      <c r="I22" s="766">
        <f t="shared" si="1"/>
        <v>0</v>
      </c>
      <c r="J22" s="757"/>
      <c r="M22" s="1098"/>
      <c r="N22" s="1098"/>
      <c r="O22" s="1098"/>
      <c r="P22" s="1098"/>
      <c r="Q22" s="1098"/>
      <c r="R22" s="1098"/>
      <c r="S22" s="1098"/>
      <c r="T22" s="1098"/>
    </row>
    <row r="23" spans="1:20" ht="12.75">
      <c r="A23" s="1101">
        <v>460561023</v>
      </c>
      <c r="B23" s="1101" t="s">
        <v>1944</v>
      </c>
      <c r="C23" s="1101" t="s">
        <v>231</v>
      </c>
      <c r="D23" s="1103"/>
      <c r="E23" s="1103"/>
      <c r="F23" s="1096">
        <v>110</v>
      </c>
      <c r="G23" s="1104">
        <v>0</v>
      </c>
      <c r="H23" s="766"/>
      <c r="I23" s="766">
        <f t="shared" si="1"/>
        <v>0</v>
      </c>
      <c r="J23" s="766">
        <f>F23*G23</f>
        <v>0</v>
      </c>
      <c r="M23" s="1098"/>
      <c r="N23" s="1098"/>
      <c r="O23" s="1098"/>
      <c r="P23" s="1098"/>
      <c r="Q23" s="1098"/>
      <c r="R23" s="1098"/>
      <c r="S23" s="1098"/>
      <c r="T23" s="1098"/>
    </row>
    <row r="24" spans="1:20" ht="13.8" thickBot="1">
      <c r="A24" s="1105" t="s">
        <v>1917</v>
      </c>
      <c r="B24" s="1105" t="s">
        <v>1918</v>
      </c>
      <c r="C24" s="1105" t="s">
        <v>154</v>
      </c>
      <c r="D24" s="1106">
        <v>23.8</v>
      </c>
      <c r="E24" s="1106">
        <v>37</v>
      </c>
      <c r="F24" s="756"/>
      <c r="G24" s="1107">
        <v>0</v>
      </c>
      <c r="H24" s="766">
        <f t="shared" si="0"/>
        <v>0</v>
      </c>
      <c r="I24" s="766">
        <f t="shared" si="1"/>
        <v>0</v>
      </c>
      <c r="J24" s="757"/>
      <c r="M24" s="1098"/>
      <c r="N24" s="1098"/>
      <c r="O24" s="1098"/>
      <c r="P24" s="1098"/>
      <c r="Q24" s="1098"/>
      <c r="R24" s="1098"/>
      <c r="S24" s="1098"/>
      <c r="T24" s="1098"/>
    </row>
    <row r="25" spans="1:10" ht="21.6" thickBot="1">
      <c r="A25" s="1108" t="s">
        <v>1919</v>
      </c>
      <c r="B25" s="1108" t="s">
        <v>1920</v>
      </c>
      <c r="C25" s="1108" t="s">
        <v>154</v>
      </c>
      <c r="D25" s="1109">
        <v>238</v>
      </c>
      <c r="E25" s="1109">
        <v>370</v>
      </c>
      <c r="F25" s="756"/>
      <c r="G25" s="1110">
        <v>0</v>
      </c>
      <c r="H25" s="766">
        <f t="shared" si="0"/>
        <v>0</v>
      </c>
      <c r="I25" s="766">
        <f t="shared" si="1"/>
        <v>0</v>
      </c>
      <c r="J25" s="757"/>
    </row>
    <row r="26" spans="1:10" ht="12.75">
      <c r="A26" s="754"/>
      <c r="B26" s="755"/>
      <c r="C26" s="756"/>
      <c r="D26" s="756"/>
      <c r="E26" s="756"/>
      <c r="F26" s="756"/>
      <c r="G26" s="756"/>
      <c r="H26" s="756"/>
      <c r="I26" s="756"/>
      <c r="J26" s="757"/>
    </row>
    <row r="27" spans="1:10" ht="12.75">
      <c r="A27" s="754"/>
      <c r="B27" s="755"/>
      <c r="C27" s="756"/>
      <c r="D27" s="756"/>
      <c r="E27" s="756"/>
      <c r="F27" s="756"/>
      <c r="G27" s="756"/>
      <c r="H27" s="756"/>
      <c r="I27" s="756"/>
      <c r="J27" s="757"/>
    </row>
    <row r="28" spans="1:7" ht="12.75">
      <c r="A28" s="749"/>
      <c r="B28" s="776"/>
      <c r="C28" s="776"/>
      <c r="D28" s="777"/>
      <c r="E28" s="777"/>
      <c r="F28" s="777"/>
      <c r="G28" s="777"/>
    </row>
    <row r="29" spans="2:10" ht="12.75">
      <c r="B29" s="740" t="s">
        <v>1582</v>
      </c>
      <c r="H29" s="778">
        <v>0</v>
      </c>
      <c r="I29" s="779"/>
      <c r="J29" s="778"/>
    </row>
    <row r="30" spans="2:10" ht="12.75">
      <c r="B30" s="740" t="s">
        <v>1583</v>
      </c>
      <c r="H30" s="780"/>
      <c r="I30" s="778">
        <f>SUM(I10:I25)</f>
        <v>0</v>
      </c>
      <c r="J30" s="780"/>
    </row>
    <row r="31" spans="2:10" ht="12.75">
      <c r="B31" s="740" t="s">
        <v>1584</v>
      </c>
      <c r="H31" s="780"/>
      <c r="I31" s="778"/>
      <c r="J31" s="778">
        <f>SUM(J15:J25)</f>
        <v>0</v>
      </c>
    </row>
    <row r="32" spans="8:10" ht="12.75">
      <c r="H32" s="780"/>
      <c r="I32" s="778"/>
      <c r="J32" s="778"/>
    </row>
    <row r="33" spans="2:10" ht="12.75">
      <c r="B33" s="740" t="s">
        <v>1585</v>
      </c>
      <c r="H33" s="780"/>
      <c r="I33" s="780"/>
      <c r="J33" s="781">
        <f>SUM(H29:J31)</f>
        <v>0</v>
      </c>
    </row>
    <row r="35" spans="2:10" ht="12.75">
      <c r="B35" s="740" t="s">
        <v>1504</v>
      </c>
      <c r="J35" s="780">
        <f>J33-H29</f>
        <v>0</v>
      </c>
    </row>
  </sheetData>
  <mergeCells count="1">
    <mergeCell ref="H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3:T25"/>
  <sheetViews>
    <sheetView workbookViewId="0" topLeftCell="A1">
      <pane ySplit="8" topLeftCell="A9" activePane="bottomLeft" state="frozen"/>
      <selection pane="topLeft" activeCell="B68" sqref="B68"/>
      <selection pane="bottomLeft" activeCell="H20" sqref="H20"/>
    </sheetView>
  </sheetViews>
  <sheetFormatPr defaultColWidth="9.125" defaultRowHeight="12.75"/>
  <cols>
    <col min="1" max="1" width="17.875" style="740" customWidth="1"/>
    <col min="2" max="2" width="45.875" style="740" customWidth="1"/>
    <col min="3" max="9" width="9.125" style="740" customWidth="1"/>
    <col min="10" max="10" width="10.50390625" style="740" customWidth="1"/>
    <col min="11" max="256" width="9.125" style="740" customWidth="1"/>
    <col min="257" max="257" width="17.875" style="740" customWidth="1"/>
    <col min="258" max="258" width="45.875" style="740" customWidth="1"/>
    <col min="259" max="265" width="9.125" style="740" customWidth="1"/>
    <col min="266" max="266" width="10.50390625" style="740" customWidth="1"/>
    <col min="267" max="512" width="9.125" style="740" customWidth="1"/>
    <col min="513" max="513" width="17.875" style="740" customWidth="1"/>
    <col min="514" max="514" width="45.875" style="740" customWidth="1"/>
    <col min="515" max="521" width="9.125" style="740" customWidth="1"/>
    <col min="522" max="522" width="10.50390625" style="740" customWidth="1"/>
    <col min="523" max="768" width="9.125" style="740" customWidth="1"/>
    <col min="769" max="769" width="17.875" style="740" customWidth="1"/>
    <col min="770" max="770" width="45.875" style="740" customWidth="1"/>
    <col min="771" max="777" width="9.125" style="740" customWidth="1"/>
    <col min="778" max="778" width="10.50390625" style="740" customWidth="1"/>
    <col min="779" max="1024" width="9.125" style="740" customWidth="1"/>
    <col min="1025" max="1025" width="17.875" style="740" customWidth="1"/>
    <col min="1026" max="1026" width="45.875" style="740" customWidth="1"/>
    <col min="1027" max="1033" width="9.125" style="740" customWidth="1"/>
    <col min="1034" max="1034" width="10.50390625" style="740" customWidth="1"/>
    <col min="1035" max="1280" width="9.125" style="740" customWidth="1"/>
    <col min="1281" max="1281" width="17.875" style="740" customWidth="1"/>
    <col min="1282" max="1282" width="45.875" style="740" customWidth="1"/>
    <col min="1283" max="1289" width="9.125" style="740" customWidth="1"/>
    <col min="1290" max="1290" width="10.50390625" style="740" customWidth="1"/>
    <col min="1291" max="1536" width="9.125" style="740" customWidth="1"/>
    <col min="1537" max="1537" width="17.875" style="740" customWidth="1"/>
    <col min="1538" max="1538" width="45.875" style="740" customWidth="1"/>
    <col min="1539" max="1545" width="9.125" style="740" customWidth="1"/>
    <col min="1546" max="1546" width="10.50390625" style="740" customWidth="1"/>
    <col min="1547" max="1792" width="9.125" style="740" customWidth="1"/>
    <col min="1793" max="1793" width="17.875" style="740" customWidth="1"/>
    <col min="1794" max="1794" width="45.875" style="740" customWidth="1"/>
    <col min="1795" max="1801" width="9.125" style="740" customWidth="1"/>
    <col min="1802" max="1802" width="10.50390625" style="740" customWidth="1"/>
    <col min="1803" max="2048" width="9.125" style="740" customWidth="1"/>
    <col min="2049" max="2049" width="17.875" style="740" customWidth="1"/>
    <col min="2050" max="2050" width="45.875" style="740" customWidth="1"/>
    <col min="2051" max="2057" width="9.125" style="740" customWidth="1"/>
    <col min="2058" max="2058" width="10.50390625" style="740" customWidth="1"/>
    <col min="2059" max="2304" width="9.125" style="740" customWidth="1"/>
    <col min="2305" max="2305" width="17.875" style="740" customWidth="1"/>
    <col min="2306" max="2306" width="45.875" style="740" customWidth="1"/>
    <col min="2307" max="2313" width="9.125" style="740" customWidth="1"/>
    <col min="2314" max="2314" width="10.50390625" style="740" customWidth="1"/>
    <col min="2315" max="2560" width="9.125" style="740" customWidth="1"/>
    <col min="2561" max="2561" width="17.875" style="740" customWidth="1"/>
    <col min="2562" max="2562" width="45.875" style="740" customWidth="1"/>
    <col min="2563" max="2569" width="9.125" style="740" customWidth="1"/>
    <col min="2570" max="2570" width="10.50390625" style="740" customWidth="1"/>
    <col min="2571" max="2816" width="9.125" style="740" customWidth="1"/>
    <col min="2817" max="2817" width="17.875" style="740" customWidth="1"/>
    <col min="2818" max="2818" width="45.875" style="740" customWidth="1"/>
    <col min="2819" max="2825" width="9.125" style="740" customWidth="1"/>
    <col min="2826" max="2826" width="10.50390625" style="740" customWidth="1"/>
    <col min="2827" max="3072" width="9.125" style="740" customWidth="1"/>
    <col min="3073" max="3073" width="17.875" style="740" customWidth="1"/>
    <col min="3074" max="3074" width="45.875" style="740" customWidth="1"/>
    <col min="3075" max="3081" width="9.125" style="740" customWidth="1"/>
    <col min="3082" max="3082" width="10.50390625" style="740" customWidth="1"/>
    <col min="3083" max="3328" width="9.125" style="740" customWidth="1"/>
    <col min="3329" max="3329" width="17.875" style="740" customWidth="1"/>
    <col min="3330" max="3330" width="45.875" style="740" customWidth="1"/>
    <col min="3331" max="3337" width="9.125" style="740" customWidth="1"/>
    <col min="3338" max="3338" width="10.50390625" style="740" customWidth="1"/>
    <col min="3339" max="3584" width="9.125" style="740" customWidth="1"/>
    <col min="3585" max="3585" width="17.875" style="740" customWidth="1"/>
    <col min="3586" max="3586" width="45.875" style="740" customWidth="1"/>
    <col min="3587" max="3593" width="9.125" style="740" customWidth="1"/>
    <col min="3594" max="3594" width="10.50390625" style="740" customWidth="1"/>
    <col min="3595" max="3840" width="9.125" style="740" customWidth="1"/>
    <col min="3841" max="3841" width="17.875" style="740" customWidth="1"/>
    <col min="3842" max="3842" width="45.875" style="740" customWidth="1"/>
    <col min="3843" max="3849" width="9.125" style="740" customWidth="1"/>
    <col min="3850" max="3850" width="10.50390625" style="740" customWidth="1"/>
    <col min="3851" max="4096" width="9.125" style="740" customWidth="1"/>
    <col min="4097" max="4097" width="17.875" style="740" customWidth="1"/>
    <col min="4098" max="4098" width="45.875" style="740" customWidth="1"/>
    <col min="4099" max="4105" width="9.125" style="740" customWidth="1"/>
    <col min="4106" max="4106" width="10.50390625" style="740" customWidth="1"/>
    <col min="4107" max="4352" width="9.125" style="740" customWidth="1"/>
    <col min="4353" max="4353" width="17.875" style="740" customWidth="1"/>
    <col min="4354" max="4354" width="45.875" style="740" customWidth="1"/>
    <col min="4355" max="4361" width="9.125" style="740" customWidth="1"/>
    <col min="4362" max="4362" width="10.50390625" style="740" customWidth="1"/>
    <col min="4363" max="4608" width="9.125" style="740" customWidth="1"/>
    <col min="4609" max="4609" width="17.875" style="740" customWidth="1"/>
    <col min="4610" max="4610" width="45.875" style="740" customWidth="1"/>
    <col min="4611" max="4617" width="9.125" style="740" customWidth="1"/>
    <col min="4618" max="4618" width="10.50390625" style="740" customWidth="1"/>
    <col min="4619" max="4864" width="9.125" style="740" customWidth="1"/>
    <col min="4865" max="4865" width="17.875" style="740" customWidth="1"/>
    <col min="4866" max="4866" width="45.875" style="740" customWidth="1"/>
    <col min="4867" max="4873" width="9.125" style="740" customWidth="1"/>
    <col min="4874" max="4874" width="10.50390625" style="740" customWidth="1"/>
    <col min="4875" max="5120" width="9.125" style="740" customWidth="1"/>
    <col min="5121" max="5121" width="17.875" style="740" customWidth="1"/>
    <col min="5122" max="5122" width="45.875" style="740" customWidth="1"/>
    <col min="5123" max="5129" width="9.125" style="740" customWidth="1"/>
    <col min="5130" max="5130" width="10.50390625" style="740" customWidth="1"/>
    <col min="5131" max="5376" width="9.125" style="740" customWidth="1"/>
    <col min="5377" max="5377" width="17.875" style="740" customWidth="1"/>
    <col min="5378" max="5378" width="45.875" style="740" customWidth="1"/>
    <col min="5379" max="5385" width="9.125" style="740" customWidth="1"/>
    <col min="5386" max="5386" width="10.50390625" style="740" customWidth="1"/>
    <col min="5387" max="5632" width="9.125" style="740" customWidth="1"/>
    <col min="5633" max="5633" width="17.875" style="740" customWidth="1"/>
    <col min="5634" max="5634" width="45.875" style="740" customWidth="1"/>
    <col min="5635" max="5641" width="9.125" style="740" customWidth="1"/>
    <col min="5642" max="5642" width="10.50390625" style="740" customWidth="1"/>
    <col min="5643" max="5888" width="9.125" style="740" customWidth="1"/>
    <col min="5889" max="5889" width="17.875" style="740" customWidth="1"/>
    <col min="5890" max="5890" width="45.875" style="740" customWidth="1"/>
    <col min="5891" max="5897" width="9.125" style="740" customWidth="1"/>
    <col min="5898" max="5898" width="10.50390625" style="740" customWidth="1"/>
    <col min="5899" max="6144" width="9.125" style="740" customWidth="1"/>
    <col min="6145" max="6145" width="17.875" style="740" customWidth="1"/>
    <col min="6146" max="6146" width="45.875" style="740" customWidth="1"/>
    <col min="6147" max="6153" width="9.125" style="740" customWidth="1"/>
    <col min="6154" max="6154" width="10.50390625" style="740" customWidth="1"/>
    <col min="6155" max="6400" width="9.125" style="740" customWidth="1"/>
    <col min="6401" max="6401" width="17.875" style="740" customWidth="1"/>
    <col min="6402" max="6402" width="45.875" style="740" customWidth="1"/>
    <col min="6403" max="6409" width="9.125" style="740" customWidth="1"/>
    <col min="6410" max="6410" width="10.50390625" style="740" customWidth="1"/>
    <col min="6411" max="6656" width="9.125" style="740" customWidth="1"/>
    <col min="6657" max="6657" width="17.875" style="740" customWidth="1"/>
    <col min="6658" max="6658" width="45.875" style="740" customWidth="1"/>
    <col min="6659" max="6665" width="9.125" style="740" customWidth="1"/>
    <col min="6666" max="6666" width="10.50390625" style="740" customWidth="1"/>
    <col min="6667" max="6912" width="9.125" style="740" customWidth="1"/>
    <col min="6913" max="6913" width="17.875" style="740" customWidth="1"/>
    <col min="6914" max="6914" width="45.875" style="740" customWidth="1"/>
    <col min="6915" max="6921" width="9.125" style="740" customWidth="1"/>
    <col min="6922" max="6922" width="10.50390625" style="740" customWidth="1"/>
    <col min="6923" max="7168" width="9.125" style="740" customWidth="1"/>
    <col min="7169" max="7169" width="17.875" style="740" customWidth="1"/>
    <col min="7170" max="7170" width="45.875" style="740" customWidth="1"/>
    <col min="7171" max="7177" width="9.125" style="740" customWidth="1"/>
    <col min="7178" max="7178" width="10.50390625" style="740" customWidth="1"/>
    <col min="7179" max="7424" width="9.125" style="740" customWidth="1"/>
    <col min="7425" max="7425" width="17.875" style="740" customWidth="1"/>
    <col min="7426" max="7426" width="45.875" style="740" customWidth="1"/>
    <col min="7427" max="7433" width="9.125" style="740" customWidth="1"/>
    <col min="7434" max="7434" width="10.50390625" style="740" customWidth="1"/>
    <col min="7435" max="7680" width="9.125" style="740" customWidth="1"/>
    <col min="7681" max="7681" width="17.875" style="740" customWidth="1"/>
    <col min="7682" max="7682" width="45.875" style="740" customWidth="1"/>
    <col min="7683" max="7689" width="9.125" style="740" customWidth="1"/>
    <col min="7690" max="7690" width="10.50390625" style="740" customWidth="1"/>
    <col min="7691" max="7936" width="9.125" style="740" customWidth="1"/>
    <col min="7937" max="7937" width="17.875" style="740" customWidth="1"/>
    <col min="7938" max="7938" width="45.875" style="740" customWidth="1"/>
    <col min="7939" max="7945" width="9.125" style="740" customWidth="1"/>
    <col min="7946" max="7946" width="10.50390625" style="740" customWidth="1"/>
    <col min="7947" max="8192" width="9.125" style="740" customWidth="1"/>
    <col min="8193" max="8193" width="17.875" style="740" customWidth="1"/>
    <col min="8194" max="8194" width="45.875" style="740" customWidth="1"/>
    <col min="8195" max="8201" width="9.125" style="740" customWidth="1"/>
    <col min="8202" max="8202" width="10.50390625" style="740" customWidth="1"/>
    <col min="8203" max="8448" width="9.125" style="740" customWidth="1"/>
    <col min="8449" max="8449" width="17.875" style="740" customWidth="1"/>
    <col min="8450" max="8450" width="45.875" style="740" customWidth="1"/>
    <col min="8451" max="8457" width="9.125" style="740" customWidth="1"/>
    <col min="8458" max="8458" width="10.50390625" style="740" customWidth="1"/>
    <col min="8459" max="8704" width="9.125" style="740" customWidth="1"/>
    <col min="8705" max="8705" width="17.875" style="740" customWidth="1"/>
    <col min="8706" max="8706" width="45.875" style="740" customWidth="1"/>
    <col min="8707" max="8713" width="9.125" style="740" customWidth="1"/>
    <col min="8714" max="8714" width="10.50390625" style="740" customWidth="1"/>
    <col min="8715" max="8960" width="9.125" style="740" customWidth="1"/>
    <col min="8961" max="8961" width="17.875" style="740" customWidth="1"/>
    <col min="8962" max="8962" width="45.875" style="740" customWidth="1"/>
    <col min="8963" max="8969" width="9.125" style="740" customWidth="1"/>
    <col min="8970" max="8970" width="10.50390625" style="740" customWidth="1"/>
    <col min="8971" max="9216" width="9.125" style="740" customWidth="1"/>
    <col min="9217" max="9217" width="17.875" style="740" customWidth="1"/>
    <col min="9218" max="9218" width="45.875" style="740" customWidth="1"/>
    <col min="9219" max="9225" width="9.125" style="740" customWidth="1"/>
    <col min="9226" max="9226" width="10.50390625" style="740" customWidth="1"/>
    <col min="9227" max="9472" width="9.125" style="740" customWidth="1"/>
    <col min="9473" max="9473" width="17.875" style="740" customWidth="1"/>
    <col min="9474" max="9474" width="45.875" style="740" customWidth="1"/>
    <col min="9475" max="9481" width="9.125" style="740" customWidth="1"/>
    <col min="9482" max="9482" width="10.50390625" style="740" customWidth="1"/>
    <col min="9483" max="9728" width="9.125" style="740" customWidth="1"/>
    <col min="9729" max="9729" width="17.875" style="740" customWidth="1"/>
    <col min="9730" max="9730" width="45.875" style="740" customWidth="1"/>
    <col min="9731" max="9737" width="9.125" style="740" customWidth="1"/>
    <col min="9738" max="9738" width="10.50390625" style="740" customWidth="1"/>
    <col min="9739" max="9984" width="9.125" style="740" customWidth="1"/>
    <col min="9985" max="9985" width="17.875" style="740" customWidth="1"/>
    <col min="9986" max="9986" width="45.875" style="740" customWidth="1"/>
    <col min="9987" max="9993" width="9.125" style="740" customWidth="1"/>
    <col min="9994" max="9994" width="10.50390625" style="740" customWidth="1"/>
    <col min="9995" max="10240" width="9.125" style="740" customWidth="1"/>
    <col min="10241" max="10241" width="17.875" style="740" customWidth="1"/>
    <col min="10242" max="10242" width="45.875" style="740" customWidth="1"/>
    <col min="10243" max="10249" width="9.125" style="740" customWidth="1"/>
    <col min="10250" max="10250" width="10.50390625" style="740" customWidth="1"/>
    <col min="10251" max="10496" width="9.125" style="740" customWidth="1"/>
    <col min="10497" max="10497" width="17.875" style="740" customWidth="1"/>
    <col min="10498" max="10498" width="45.875" style="740" customWidth="1"/>
    <col min="10499" max="10505" width="9.125" style="740" customWidth="1"/>
    <col min="10506" max="10506" width="10.50390625" style="740" customWidth="1"/>
    <col min="10507" max="10752" width="9.125" style="740" customWidth="1"/>
    <col min="10753" max="10753" width="17.875" style="740" customWidth="1"/>
    <col min="10754" max="10754" width="45.875" style="740" customWidth="1"/>
    <col min="10755" max="10761" width="9.125" style="740" customWidth="1"/>
    <col min="10762" max="10762" width="10.50390625" style="740" customWidth="1"/>
    <col min="10763" max="11008" width="9.125" style="740" customWidth="1"/>
    <col min="11009" max="11009" width="17.875" style="740" customWidth="1"/>
    <col min="11010" max="11010" width="45.875" style="740" customWidth="1"/>
    <col min="11011" max="11017" width="9.125" style="740" customWidth="1"/>
    <col min="11018" max="11018" width="10.50390625" style="740" customWidth="1"/>
    <col min="11019" max="11264" width="9.125" style="740" customWidth="1"/>
    <col min="11265" max="11265" width="17.875" style="740" customWidth="1"/>
    <col min="11266" max="11266" width="45.875" style="740" customWidth="1"/>
    <col min="11267" max="11273" width="9.125" style="740" customWidth="1"/>
    <col min="11274" max="11274" width="10.50390625" style="740" customWidth="1"/>
    <col min="11275" max="11520" width="9.125" style="740" customWidth="1"/>
    <col min="11521" max="11521" width="17.875" style="740" customWidth="1"/>
    <col min="11522" max="11522" width="45.875" style="740" customWidth="1"/>
    <col min="11523" max="11529" width="9.125" style="740" customWidth="1"/>
    <col min="11530" max="11530" width="10.50390625" style="740" customWidth="1"/>
    <col min="11531" max="11776" width="9.125" style="740" customWidth="1"/>
    <col min="11777" max="11777" width="17.875" style="740" customWidth="1"/>
    <col min="11778" max="11778" width="45.875" style="740" customWidth="1"/>
    <col min="11779" max="11785" width="9.125" style="740" customWidth="1"/>
    <col min="11786" max="11786" width="10.50390625" style="740" customWidth="1"/>
    <col min="11787" max="12032" width="9.125" style="740" customWidth="1"/>
    <col min="12033" max="12033" width="17.875" style="740" customWidth="1"/>
    <col min="12034" max="12034" width="45.875" style="740" customWidth="1"/>
    <col min="12035" max="12041" width="9.125" style="740" customWidth="1"/>
    <col min="12042" max="12042" width="10.50390625" style="740" customWidth="1"/>
    <col min="12043" max="12288" width="9.125" style="740" customWidth="1"/>
    <col min="12289" max="12289" width="17.875" style="740" customWidth="1"/>
    <col min="12290" max="12290" width="45.875" style="740" customWidth="1"/>
    <col min="12291" max="12297" width="9.125" style="740" customWidth="1"/>
    <col min="12298" max="12298" width="10.50390625" style="740" customWidth="1"/>
    <col min="12299" max="12544" width="9.125" style="740" customWidth="1"/>
    <col min="12545" max="12545" width="17.875" style="740" customWidth="1"/>
    <col min="12546" max="12546" width="45.875" style="740" customWidth="1"/>
    <col min="12547" max="12553" width="9.125" style="740" customWidth="1"/>
    <col min="12554" max="12554" width="10.50390625" style="740" customWidth="1"/>
    <col min="12555" max="12800" width="9.125" style="740" customWidth="1"/>
    <col min="12801" max="12801" width="17.875" style="740" customWidth="1"/>
    <col min="12802" max="12802" width="45.875" style="740" customWidth="1"/>
    <col min="12803" max="12809" width="9.125" style="740" customWidth="1"/>
    <col min="12810" max="12810" width="10.50390625" style="740" customWidth="1"/>
    <col min="12811" max="13056" width="9.125" style="740" customWidth="1"/>
    <col min="13057" max="13057" width="17.875" style="740" customWidth="1"/>
    <col min="13058" max="13058" width="45.875" style="740" customWidth="1"/>
    <col min="13059" max="13065" width="9.125" style="740" customWidth="1"/>
    <col min="13066" max="13066" width="10.50390625" style="740" customWidth="1"/>
    <col min="13067" max="13312" width="9.125" style="740" customWidth="1"/>
    <col min="13313" max="13313" width="17.875" style="740" customWidth="1"/>
    <col min="13314" max="13314" width="45.875" style="740" customWidth="1"/>
    <col min="13315" max="13321" width="9.125" style="740" customWidth="1"/>
    <col min="13322" max="13322" width="10.50390625" style="740" customWidth="1"/>
    <col min="13323" max="13568" width="9.125" style="740" customWidth="1"/>
    <col min="13569" max="13569" width="17.875" style="740" customWidth="1"/>
    <col min="13570" max="13570" width="45.875" style="740" customWidth="1"/>
    <col min="13571" max="13577" width="9.125" style="740" customWidth="1"/>
    <col min="13578" max="13578" width="10.50390625" style="740" customWidth="1"/>
    <col min="13579" max="13824" width="9.125" style="740" customWidth="1"/>
    <col min="13825" max="13825" width="17.875" style="740" customWidth="1"/>
    <col min="13826" max="13826" width="45.875" style="740" customWidth="1"/>
    <col min="13827" max="13833" width="9.125" style="740" customWidth="1"/>
    <col min="13834" max="13834" width="10.50390625" style="740" customWidth="1"/>
    <col min="13835" max="14080" width="9.125" style="740" customWidth="1"/>
    <col min="14081" max="14081" width="17.875" style="740" customWidth="1"/>
    <col min="14082" max="14082" width="45.875" style="740" customWidth="1"/>
    <col min="14083" max="14089" width="9.125" style="740" customWidth="1"/>
    <col min="14090" max="14090" width="10.50390625" style="740" customWidth="1"/>
    <col min="14091" max="14336" width="9.125" style="740" customWidth="1"/>
    <col min="14337" max="14337" width="17.875" style="740" customWidth="1"/>
    <col min="14338" max="14338" width="45.875" style="740" customWidth="1"/>
    <col min="14339" max="14345" width="9.125" style="740" customWidth="1"/>
    <col min="14346" max="14346" width="10.50390625" style="740" customWidth="1"/>
    <col min="14347" max="14592" width="9.125" style="740" customWidth="1"/>
    <col min="14593" max="14593" width="17.875" style="740" customWidth="1"/>
    <col min="14594" max="14594" width="45.875" style="740" customWidth="1"/>
    <col min="14595" max="14601" width="9.125" style="740" customWidth="1"/>
    <col min="14602" max="14602" width="10.50390625" style="740" customWidth="1"/>
    <col min="14603" max="14848" width="9.125" style="740" customWidth="1"/>
    <col min="14849" max="14849" width="17.875" style="740" customWidth="1"/>
    <col min="14850" max="14850" width="45.875" style="740" customWidth="1"/>
    <col min="14851" max="14857" width="9.125" style="740" customWidth="1"/>
    <col min="14858" max="14858" width="10.50390625" style="740" customWidth="1"/>
    <col min="14859" max="15104" width="9.125" style="740" customWidth="1"/>
    <col min="15105" max="15105" width="17.875" style="740" customWidth="1"/>
    <col min="15106" max="15106" width="45.875" style="740" customWidth="1"/>
    <col min="15107" max="15113" width="9.125" style="740" customWidth="1"/>
    <col min="15114" max="15114" width="10.50390625" style="740" customWidth="1"/>
    <col min="15115" max="15360" width="9.125" style="740" customWidth="1"/>
    <col min="15361" max="15361" width="17.875" style="740" customWidth="1"/>
    <col min="15362" max="15362" width="45.875" style="740" customWidth="1"/>
    <col min="15363" max="15369" width="9.125" style="740" customWidth="1"/>
    <col min="15370" max="15370" width="10.50390625" style="740" customWidth="1"/>
    <col min="15371" max="15616" width="9.125" style="740" customWidth="1"/>
    <col min="15617" max="15617" width="17.875" style="740" customWidth="1"/>
    <col min="15618" max="15618" width="45.875" style="740" customWidth="1"/>
    <col min="15619" max="15625" width="9.125" style="740" customWidth="1"/>
    <col min="15626" max="15626" width="10.50390625" style="740" customWidth="1"/>
    <col min="15627" max="15872" width="9.125" style="740" customWidth="1"/>
    <col min="15873" max="15873" width="17.875" style="740" customWidth="1"/>
    <col min="15874" max="15874" width="45.875" style="740" customWidth="1"/>
    <col min="15875" max="15881" width="9.125" style="740" customWidth="1"/>
    <col min="15882" max="15882" width="10.50390625" style="740" customWidth="1"/>
    <col min="15883" max="16128" width="9.125" style="740" customWidth="1"/>
    <col min="16129" max="16129" width="17.875" style="740" customWidth="1"/>
    <col min="16130" max="16130" width="45.875" style="740" customWidth="1"/>
    <col min="16131" max="16137" width="9.125" style="740" customWidth="1"/>
    <col min="16138" max="16138" width="10.50390625" style="740" customWidth="1"/>
    <col min="16139" max="16384" width="9.125" style="740" customWidth="1"/>
  </cols>
  <sheetData>
    <row r="3" spans="1:10" ht="12.75">
      <c r="A3" s="736"/>
      <c r="B3" s="737" t="s">
        <v>1571</v>
      </c>
      <c r="C3" s="738"/>
      <c r="D3" s="739"/>
      <c r="E3" s="739"/>
      <c r="F3" s="739"/>
      <c r="G3" s="739"/>
      <c r="H3" s="739"/>
      <c r="I3" s="739"/>
      <c r="J3" s="738"/>
    </row>
    <row r="4" spans="1:10" ht="12.75">
      <c r="A4" s="736"/>
      <c r="B4" s="741" t="s">
        <v>1572</v>
      </c>
      <c r="C4" s="738"/>
      <c r="D4" s="739"/>
      <c r="E4" s="739"/>
      <c r="F4" s="739"/>
      <c r="G4" s="739"/>
      <c r="H4" s="739"/>
      <c r="I4" s="739"/>
      <c r="J4" s="738"/>
    </row>
    <row r="5" spans="1:10" ht="12.75">
      <c r="A5" s="736"/>
      <c r="B5" s="742" t="s">
        <v>1945</v>
      </c>
      <c r="C5" s="738"/>
      <c r="D5" s="739"/>
      <c r="E5" s="739"/>
      <c r="F5" s="739"/>
      <c r="G5" s="739"/>
      <c r="H5" s="739"/>
      <c r="I5" s="739"/>
      <c r="J5" s="738"/>
    </row>
    <row r="6" spans="1:10" ht="12.75">
      <c r="A6" s="736"/>
      <c r="B6" s="738" t="s">
        <v>1574</v>
      </c>
      <c r="C6" s="743" t="s">
        <v>1450</v>
      </c>
      <c r="D6" s="744"/>
      <c r="E6" s="744"/>
      <c r="F6" s="744"/>
      <c r="G6" s="744"/>
      <c r="H6" s="744"/>
      <c r="I6" s="744"/>
      <c r="J6" s="738"/>
    </row>
    <row r="7" spans="1:10" ht="14.4">
      <c r="A7" s="745" t="s">
        <v>1070</v>
      </c>
      <c r="B7" s="746" t="s">
        <v>1071</v>
      </c>
      <c r="C7" s="746" t="s">
        <v>1072</v>
      </c>
      <c r="D7" s="787" t="s">
        <v>133</v>
      </c>
      <c r="E7" s="1076"/>
      <c r="F7" s="1076"/>
      <c r="G7" s="746" t="s">
        <v>1575</v>
      </c>
      <c r="H7" s="1632" t="s">
        <v>1129</v>
      </c>
      <c r="I7" s="1699"/>
      <c r="J7" s="1700"/>
    </row>
    <row r="8" spans="1:10" ht="77.25" customHeight="1">
      <c r="A8" s="749"/>
      <c r="B8" s="750"/>
      <c r="C8" s="751"/>
      <c r="D8" s="752" t="s">
        <v>1576</v>
      </c>
      <c r="E8" s="752" t="s">
        <v>1577</v>
      </c>
      <c r="F8" s="752" t="s">
        <v>1578</v>
      </c>
      <c r="G8" s="752"/>
      <c r="H8" s="752" t="s">
        <v>1576</v>
      </c>
      <c r="I8" s="753" t="s">
        <v>1579</v>
      </c>
      <c r="J8" s="752" t="s">
        <v>1578</v>
      </c>
    </row>
    <row r="9" spans="1:10" ht="13.8" thickBot="1">
      <c r="A9" s="754"/>
      <c r="B9" s="755"/>
      <c r="C9" s="756"/>
      <c r="D9" s="756"/>
      <c r="E9" s="756"/>
      <c r="F9" s="756"/>
      <c r="G9" s="756"/>
      <c r="H9" s="756"/>
      <c r="I9" s="756"/>
      <c r="J9" s="757"/>
    </row>
    <row r="10" spans="1:20" ht="21.6" thickBot="1">
      <c r="A10" s="1111" t="s">
        <v>1946</v>
      </c>
      <c r="B10" s="1111" t="s">
        <v>1947</v>
      </c>
      <c r="C10" s="1111" t="s">
        <v>196</v>
      </c>
      <c r="D10" s="1112">
        <v>11</v>
      </c>
      <c r="E10" s="1113">
        <v>-11</v>
      </c>
      <c r="F10" s="756"/>
      <c r="G10" s="1097">
        <v>0</v>
      </c>
      <c r="H10" s="766">
        <f>D10*G10</f>
        <v>0</v>
      </c>
      <c r="I10" s="766">
        <f>E10*G10</f>
        <v>0</v>
      </c>
      <c r="J10" s="757"/>
      <c r="M10" s="1098"/>
      <c r="N10" s="1098"/>
      <c r="O10" s="1099">
        <v>195</v>
      </c>
      <c r="P10" s="1098">
        <v>2</v>
      </c>
      <c r="Q10" s="1098">
        <f>O10*P10</f>
        <v>390</v>
      </c>
      <c r="R10" s="1098"/>
      <c r="S10" s="1098">
        <f>O10*0.35*0.15</f>
        <v>10.237499999999999</v>
      </c>
      <c r="T10" s="1098"/>
    </row>
    <row r="11" spans="1:20" ht="13.8" thickBot="1">
      <c r="A11" s="1114" t="s">
        <v>1948</v>
      </c>
      <c r="B11" s="1114" t="s">
        <v>1949</v>
      </c>
      <c r="C11" s="1114" t="s">
        <v>196</v>
      </c>
      <c r="D11" s="1115">
        <v>11</v>
      </c>
      <c r="E11" s="1116">
        <v>-11</v>
      </c>
      <c r="F11" s="756"/>
      <c r="G11" s="1116">
        <v>0</v>
      </c>
      <c r="H11" s="1116">
        <f>D11*G11</f>
        <v>0</v>
      </c>
      <c r="I11" s="1116">
        <f>E11*G11</f>
        <v>0</v>
      </c>
      <c r="J11" s="757"/>
      <c r="M11" s="1098"/>
      <c r="N11" s="1098"/>
      <c r="O11" s="1099">
        <f>D11+E11</f>
        <v>0</v>
      </c>
      <c r="P11" s="1098">
        <v>2</v>
      </c>
      <c r="Q11" s="1098">
        <f>O11*P11</f>
        <v>0</v>
      </c>
      <c r="R11" s="1098"/>
      <c r="S11" s="1098">
        <f>O11*0.5*0.15</f>
        <v>0</v>
      </c>
      <c r="T11" s="1098"/>
    </row>
    <row r="12" spans="1:10" ht="21.6" thickBot="1">
      <c r="A12" s="1117" t="s">
        <v>1950</v>
      </c>
      <c r="B12" s="1117" t="s">
        <v>1951</v>
      </c>
      <c r="C12" s="756"/>
      <c r="D12" s="756"/>
      <c r="E12" s="756"/>
      <c r="F12" s="1118">
        <v>12</v>
      </c>
      <c r="G12" s="1079">
        <v>0</v>
      </c>
      <c r="H12" s="756"/>
      <c r="I12" s="756"/>
      <c r="J12" s="1119">
        <f>F12*G12</f>
        <v>0</v>
      </c>
    </row>
    <row r="13" spans="1:10" ht="21.6" thickBot="1">
      <c r="A13" s="1114" t="s">
        <v>1952</v>
      </c>
      <c r="B13" s="1114" t="s">
        <v>1953</v>
      </c>
      <c r="C13" s="756"/>
      <c r="D13" s="756"/>
      <c r="E13" s="756"/>
      <c r="F13" s="760">
        <v>12</v>
      </c>
      <c r="G13" s="775">
        <v>0</v>
      </c>
      <c r="H13" s="756"/>
      <c r="I13" s="756"/>
      <c r="J13" s="762">
        <f>F13*G13</f>
        <v>0</v>
      </c>
    </row>
    <row r="14" spans="1:20" ht="13.8" thickBot="1">
      <c r="A14" s="1095"/>
      <c r="B14" s="1095"/>
      <c r="C14" s="1095"/>
      <c r="D14" s="1096"/>
      <c r="E14" s="1096"/>
      <c r="F14" s="760"/>
      <c r="G14" s="1097"/>
      <c r="H14" s="766"/>
      <c r="I14" s="766"/>
      <c r="J14" s="757"/>
      <c r="M14" s="1098"/>
      <c r="N14" s="1098"/>
      <c r="O14" s="1099">
        <f>D14+E14</f>
        <v>0</v>
      </c>
      <c r="P14" s="1098"/>
      <c r="Q14" s="1098"/>
      <c r="R14" s="1098"/>
      <c r="S14" s="1098" t="s">
        <v>1</v>
      </c>
      <c r="T14" s="1098"/>
    </row>
    <row r="15" spans="1:10" ht="12.75">
      <c r="A15" s="754"/>
      <c r="B15" s="755"/>
      <c r="C15" s="756"/>
      <c r="D15" s="756"/>
      <c r="E15" s="756"/>
      <c r="F15" s="756"/>
      <c r="G15" s="756"/>
      <c r="H15" s="756"/>
      <c r="I15" s="756"/>
      <c r="J15" s="757"/>
    </row>
    <row r="16" spans="1:10" ht="12.75">
      <c r="A16" s="754"/>
      <c r="B16" s="755"/>
      <c r="C16" s="756"/>
      <c r="D16" s="756"/>
      <c r="E16" s="756"/>
      <c r="F16" s="756"/>
      <c r="G16" s="756"/>
      <c r="H16" s="756"/>
      <c r="I16" s="756"/>
      <c r="J16" s="757"/>
    </row>
    <row r="17" spans="1:7" ht="12.75">
      <c r="A17" s="749"/>
      <c r="B17" s="776"/>
      <c r="C17" s="776"/>
      <c r="D17" s="777"/>
      <c r="E17" s="777"/>
      <c r="F17" s="777"/>
      <c r="G17" s="777"/>
    </row>
    <row r="18" spans="2:10" ht="12.75">
      <c r="B18" s="740" t="s">
        <v>1582</v>
      </c>
      <c r="H18" s="778">
        <v>0</v>
      </c>
      <c r="I18" s="779"/>
      <c r="J18" s="778"/>
    </row>
    <row r="19" spans="2:10" ht="12.75">
      <c r="B19" s="740" t="s">
        <v>1583</v>
      </c>
      <c r="H19" s="780"/>
      <c r="I19" s="778">
        <f>SUM(I10:I14)</f>
        <v>0</v>
      </c>
      <c r="J19" s="780"/>
    </row>
    <row r="20" spans="2:10" ht="12.75">
      <c r="B20" s="740" t="s">
        <v>1584</v>
      </c>
      <c r="H20" s="780"/>
      <c r="I20" s="778"/>
      <c r="J20" s="778">
        <f>SUM(J12:J19)</f>
        <v>0</v>
      </c>
    </row>
    <row r="21" spans="8:10" ht="12.75">
      <c r="H21" s="780"/>
      <c r="I21" s="778"/>
      <c r="J21" s="778"/>
    </row>
    <row r="22" spans="2:10" ht="12.75">
      <c r="B22" s="740" t="s">
        <v>1585</v>
      </c>
      <c r="H22" s="780"/>
      <c r="I22" s="780"/>
      <c r="J22" s="781">
        <f>SUM(H18:J20)</f>
        <v>0</v>
      </c>
    </row>
    <row r="25" spans="2:10" ht="12.75">
      <c r="B25" s="797" t="s">
        <v>1504</v>
      </c>
      <c r="J25" s="780">
        <f>J22-H18</f>
        <v>0</v>
      </c>
    </row>
  </sheetData>
  <mergeCells count="1">
    <mergeCell ref="H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4">
      <selection activeCell="D85" sqref="D8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89" t="s">
        <v>126</v>
      </c>
      <c r="B1" s="188"/>
      <c r="C1" s="188"/>
      <c r="D1" s="188"/>
      <c r="E1" s="188"/>
      <c r="F1" s="188"/>
      <c r="G1" s="188"/>
    </row>
    <row r="2" spans="1:7" ht="12.75" customHeight="1">
      <c r="A2" s="187" t="s">
        <v>125</v>
      </c>
      <c r="B2" s="186"/>
      <c r="C2" s="185">
        <f>'z01R'!H1</f>
        <v>0</v>
      </c>
      <c r="D2" s="185" t="s">
        <v>279</v>
      </c>
      <c r="E2" s="184"/>
      <c r="F2" s="183" t="s">
        <v>124</v>
      </c>
      <c r="G2" s="182"/>
    </row>
    <row r="3" spans="1:7" ht="3" customHeight="1" hidden="1">
      <c r="A3" s="133"/>
      <c r="B3" s="151"/>
      <c r="C3" s="174"/>
      <c r="D3" s="174"/>
      <c r="E3" s="173"/>
      <c r="F3" s="155"/>
      <c r="G3" s="176"/>
    </row>
    <row r="4" spans="1:7" ht="12" customHeight="1">
      <c r="A4" s="175" t="s">
        <v>123</v>
      </c>
      <c r="B4" s="151"/>
      <c r="C4" s="174" t="s">
        <v>280</v>
      </c>
      <c r="D4" s="174"/>
      <c r="E4" s="173"/>
      <c r="F4" s="155" t="s">
        <v>122</v>
      </c>
      <c r="G4" s="181"/>
    </row>
    <row r="5" spans="1:7" ht="12.9" customHeight="1">
      <c r="A5" s="180" t="s">
        <v>14</v>
      </c>
      <c r="B5" s="177"/>
      <c r="C5" s="179" t="s">
        <v>15</v>
      </c>
      <c r="D5" s="178"/>
      <c r="E5" s="177"/>
      <c r="F5" s="155" t="s">
        <v>121</v>
      </c>
      <c r="G5" s="176"/>
    </row>
    <row r="6" spans="1:15" ht="12.9" customHeight="1">
      <c r="A6" s="175" t="s">
        <v>120</v>
      </c>
      <c r="B6" s="151"/>
      <c r="C6" s="174" t="s">
        <v>281</v>
      </c>
      <c r="D6" s="174"/>
      <c r="E6" s="173"/>
      <c r="F6" s="172" t="s">
        <v>119</v>
      </c>
      <c r="G6" s="165">
        <v>0</v>
      </c>
      <c r="O6" s="253"/>
    </row>
    <row r="7" spans="1:7" ht="12.9" customHeight="1">
      <c r="A7" s="170" t="s">
        <v>12</v>
      </c>
      <c r="B7" s="169"/>
      <c r="C7" s="168" t="s">
        <v>13</v>
      </c>
      <c r="D7" s="167"/>
      <c r="E7" s="167"/>
      <c r="F7" s="166" t="s">
        <v>118</v>
      </c>
      <c r="G7" s="165">
        <f>IF(PocetMJ=0,,ROUND((F30+F32)/PocetMJ,1))</f>
        <v>0</v>
      </c>
    </row>
    <row r="8" spans="1:9" ht="12.75">
      <c r="A8" s="156" t="s">
        <v>117</v>
      </c>
      <c r="B8" s="155"/>
      <c r="C8" s="1570"/>
      <c r="D8" s="1570"/>
      <c r="E8" s="1571"/>
      <c r="F8" s="164" t="s">
        <v>116</v>
      </c>
      <c r="G8" s="163"/>
      <c r="H8" s="254"/>
      <c r="I8" s="255"/>
    </row>
    <row r="9" spans="1:8" ht="12.75">
      <c r="A9" s="156" t="s">
        <v>115</v>
      </c>
      <c r="B9" s="155"/>
      <c r="C9" s="1570">
        <f>Projektant</f>
        <v>0</v>
      </c>
      <c r="D9" s="1570"/>
      <c r="E9" s="1571"/>
      <c r="F9" s="155"/>
      <c r="G9" s="160"/>
      <c r="H9" s="256"/>
    </row>
    <row r="10" spans="1:8" ht="12.75">
      <c r="A10" s="156" t="s">
        <v>114</v>
      </c>
      <c r="B10" s="155"/>
      <c r="C10" s="1570"/>
      <c r="D10" s="1570"/>
      <c r="E10" s="1570"/>
      <c r="F10" s="159"/>
      <c r="G10" s="158"/>
      <c r="H10" s="257"/>
    </row>
    <row r="11" spans="1:57" ht="13.5" customHeight="1">
      <c r="A11" s="156" t="s">
        <v>113</v>
      </c>
      <c r="B11" s="155"/>
      <c r="C11" s="1570"/>
      <c r="D11" s="1570"/>
      <c r="E11" s="1570"/>
      <c r="F11" s="154" t="s">
        <v>112</v>
      </c>
      <c r="G11" s="153"/>
      <c r="H11" s="256"/>
      <c r="BA11" s="258"/>
      <c r="BB11" s="258"/>
      <c r="BC11" s="258"/>
      <c r="BD11" s="258"/>
      <c r="BE11" s="258"/>
    </row>
    <row r="12" spans="1:8" ht="12.75" customHeight="1">
      <c r="A12" s="152" t="s">
        <v>111</v>
      </c>
      <c r="B12" s="151"/>
      <c r="C12" s="1572"/>
      <c r="D12" s="1572"/>
      <c r="E12" s="1572"/>
      <c r="F12" s="150" t="s">
        <v>110</v>
      </c>
      <c r="G12" s="149"/>
      <c r="H12" s="256"/>
    </row>
    <row r="13" spans="1:8" ht="28.5" customHeight="1" thickBot="1">
      <c r="A13" s="148" t="s">
        <v>109</v>
      </c>
      <c r="B13" s="147"/>
      <c r="C13" s="147"/>
      <c r="D13" s="147"/>
      <c r="E13" s="146"/>
      <c r="F13" s="146"/>
      <c r="G13" s="145"/>
      <c r="H13" s="256"/>
    </row>
    <row r="14" spans="1:7" ht="17.25" customHeight="1" thickBot="1">
      <c r="A14" s="144" t="s">
        <v>108</v>
      </c>
      <c r="B14" s="143"/>
      <c r="C14" s="140"/>
      <c r="D14" s="142" t="s">
        <v>107</v>
      </c>
      <c r="E14" s="141"/>
      <c r="F14" s="141"/>
      <c r="G14" s="140"/>
    </row>
    <row r="15" spans="1:7" ht="15.9" customHeight="1">
      <c r="A15" s="136"/>
      <c r="B15" s="62" t="s">
        <v>106</v>
      </c>
      <c r="C15" s="127">
        <f>HSV</f>
        <v>0</v>
      </c>
      <c r="D15" s="139" t="str">
        <f>'z01R'!A20</f>
        <v>Ztížené výrobní podmínky</v>
      </c>
      <c r="E15" s="138"/>
      <c r="F15" s="137"/>
      <c r="G15" s="127">
        <f>'z01R'!I20</f>
        <v>0</v>
      </c>
    </row>
    <row r="16" spans="1:7" ht="15.9" customHeight="1">
      <c r="A16" s="136" t="s">
        <v>105</v>
      </c>
      <c r="B16" s="62" t="s">
        <v>104</v>
      </c>
      <c r="C16" s="127">
        <f>PSV</f>
        <v>0</v>
      </c>
      <c r="D16" s="133" t="str">
        <f>'z01R'!A21</f>
        <v>Oborová přirážka</v>
      </c>
      <c r="E16" s="132"/>
      <c r="F16" s="108"/>
      <c r="G16" s="127">
        <f>'z01R'!I21</f>
        <v>0</v>
      </c>
    </row>
    <row r="17" spans="1:7" ht="15.9" customHeight="1">
      <c r="A17" s="136" t="s">
        <v>103</v>
      </c>
      <c r="B17" s="62" t="s">
        <v>102</v>
      </c>
      <c r="C17" s="127">
        <f>Mont</f>
        <v>0</v>
      </c>
      <c r="D17" s="133" t="str">
        <f>'z01R'!A22</f>
        <v>Přesun stavebních kapacit</v>
      </c>
      <c r="E17" s="132"/>
      <c r="F17" s="108"/>
      <c r="G17" s="127">
        <f>'z01R'!I22</f>
        <v>0</v>
      </c>
    </row>
    <row r="18" spans="1:7" ht="15.9" customHeight="1">
      <c r="A18" s="135" t="s">
        <v>101</v>
      </c>
      <c r="B18" s="134" t="s">
        <v>100</v>
      </c>
      <c r="C18" s="127">
        <f>Dodavka</f>
        <v>0</v>
      </c>
      <c r="D18" s="133" t="str">
        <f>'z01R'!A23</f>
        <v>Mimostaveništní doprava</v>
      </c>
      <c r="E18" s="132"/>
      <c r="F18" s="108"/>
      <c r="G18" s="127">
        <f>'z01R'!I23</f>
        <v>0</v>
      </c>
    </row>
    <row r="19" spans="1:7" ht="15.9" customHeight="1">
      <c r="A19" s="63" t="s">
        <v>99</v>
      </c>
      <c r="B19" s="62"/>
      <c r="C19" s="127">
        <f>SUM(C15:C18)</f>
        <v>0</v>
      </c>
      <c r="D19" s="133" t="str">
        <f>'z01R'!A24</f>
        <v>Zařízení staveniště</v>
      </c>
      <c r="E19" s="132"/>
      <c r="F19" s="108"/>
      <c r="G19" s="127">
        <f>'z01R'!I24</f>
        <v>0</v>
      </c>
    </row>
    <row r="20" spans="1:7" ht="15.9" customHeight="1">
      <c r="A20" s="63"/>
      <c r="B20" s="62"/>
      <c r="C20" s="127"/>
      <c r="D20" s="133" t="str">
        <f>'z01R'!A25</f>
        <v>Provoz investora</v>
      </c>
      <c r="E20" s="132"/>
      <c r="F20" s="108"/>
      <c r="G20" s="127">
        <f>'z01R'!I25</f>
        <v>0</v>
      </c>
    </row>
    <row r="21" spans="1:7" ht="15.9" customHeight="1">
      <c r="A21" s="63" t="s">
        <v>70</v>
      </c>
      <c r="B21" s="62"/>
      <c r="C21" s="127">
        <f>HZS</f>
        <v>0</v>
      </c>
      <c r="D21" s="133" t="str">
        <f>'z01R'!A26</f>
        <v>Kompletační činnost (IČD)</v>
      </c>
      <c r="E21" s="132"/>
      <c r="F21" s="108"/>
      <c r="G21" s="127">
        <f>'z01R'!I26</f>
        <v>0</v>
      </c>
    </row>
    <row r="22" spans="1:7" ht="15.9" customHeight="1">
      <c r="A22" s="118" t="s">
        <v>98</v>
      </c>
      <c r="B22" s="74"/>
      <c r="C22" s="127">
        <f>C19+C21</f>
        <v>0</v>
      </c>
      <c r="D22" s="133" t="s">
        <v>97</v>
      </c>
      <c r="E22" s="132"/>
      <c r="F22" s="108"/>
      <c r="G22" s="127">
        <f>G23-SUM(G15:G21)</f>
        <v>0</v>
      </c>
    </row>
    <row r="23" spans="1:7" ht="15.9" customHeight="1" thickBot="1">
      <c r="A23" s="1568" t="s">
        <v>96</v>
      </c>
      <c r="B23" s="1569"/>
      <c r="C23" s="131">
        <f>C22+G23</f>
        <v>0</v>
      </c>
      <c r="D23" s="130" t="s">
        <v>95</v>
      </c>
      <c r="E23" s="129"/>
      <c r="F23" s="128"/>
      <c r="G23" s="127">
        <f>VRN</f>
        <v>0</v>
      </c>
    </row>
    <row r="24" spans="1:7" ht="12.75">
      <c r="A24" s="71" t="s">
        <v>94</v>
      </c>
      <c r="B24" s="70"/>
      <c r="C24" s="126"/>
      <c r="D24" s="70" t="s">
        <v>93</v>
      </c>
      <c r="E24" s="70"/>
      <c r="F24" s="125" t="s">
        <v>92</v>
      </c>
      <c r="G24" s="124"/>
    </row>
    <row r="25" spans="1:7" ht="12.75">
      <c r="A25" s="118" t="s">
        <v>91</v>
      </c>
      <c r="B25" s="74"/>
      <c r="C25" s="120"/>
      <c r="D25" s="74" t="s">
        <v>91</v>
      </c>
      <c r="E25" s="1"/>
      <c r="F25" s="121" t="s">
        <v>91</v>
      </c>
      <c r="G25" s="115"/>
    </row>
    <row r="26" spans="1:7" ht="37.5" customHeight="1">
      <c r="A26" s="118" t="s">
        <v>90</v>
      </c>
      <c r="B26" s="123"/>
      <c r="C26" s="120"/>
      <c r="D26" s="74" t="s">
        <v>90</v>
      </c>
      <c r="E26" s="1"/>
      <c r="F26" s="121" t="s">
        <v>90</v>
      </c>
      <c r="G26" s="115"/>
    </row>
    <row r="27" spans="1:7" ht="12.75">
      <c r="A27" s="118"/>
      <c r="B27" s="122"/>
      <c r="C27" s="120"/>
      <c r="D27" s="74"/>
      <c r="E27" s="1"/>
      <c r="F27" s="121"/>
      <c r="G27" s="115"/>
    </row>
    <row r="28" spans="1:7" ht="12.75">
      <c r="A28" s="118" t="s">
        <v>89</v>
      </c>
      <c r="B28" s="74"/>
      <c r="C28" s="120"/>
      <c r="D28" s="121" t="s">
        <v>88</v>
      </c>
      <c r="E28" s="120"/>
      <c r="F28" s="119" t="s">
        <v>88</v>
      </c>
      <c r="G28" s="115"/>
    </row>
    <row r="29" spans="1:7" ht="69" customHeight="1">
      <c r="A29" s="118"/>
      <c r="B29" s="74"/>
      <c r="C29" s="116"/>
      <c r="D29" s="117"/>
      <c r="E29" s="116"/>
      <c r="F29" s="74"/>
      <c r="G29" s="115"/>
    </row>
    <row r="30" spans="1:7" ht="12.75">
      <c r="A30" s="112" t="s">
        <v>8</v>
      </c>
      <c r="B30" s="109"/>
      <c r="C30" s="114">
        <v>21</v>
      </c>
      <c r="D30" s="109" t="s">
        <v>87</v>
      </c>
      <c r="E30" s="113"/>
      <c r="F30" s="1574">
        <f>C23-F32</f>
        <v>0</v>
      </c>
      <c r="G30" s="1575"/>
    </row>
    <row r="31" spans="1:7" ht="12.75">
      <c r="A31" s="112" t="s">
        <v>86</v>
      </c>
      <c r="B31" s="109"/>
      <c r="C31" s="114">
        <f>SazbaDPH1</f>
        <v>21</v>
      </c>
      <c r="D31" s="109" t="s">
        <v>85</v>
      </c>
      <c r="E31" s="113"/>
      <c r="F31" s="1574">
        <f>ROUND(PRODUCT(F30,C31/100),0)</f>
        <v>0</v>
      </c>
      <c r="G31" s="1575"/>
    </row>
    <row r="32" spans="1:7" ht="12.75">
      <c r="A32" s="112" t="s">
        <v>8</v>
      </c>
      <c r="B32" s="109"/>
      <c r="C32" s="114">
        <v>0</v>
      </c>
      <c r="D32" s="109" t="s">
        <v>85</v>
      </c>
      <c r="E32" s="113"/>
      <c r="F32" s="1574">
        <v>0</v>
      </c>
      <c r="G32" s="1575"/>
    </row>
    <row r="33" spans="1:7" ht="12.75">
      <c r="A33" s="112" t="s">
        <v>86</v>
      </c>
      <c r="B33" s="111"/>
      <c r="C33" s="110">
        <f>SazbaDPH2</f>
        <v>0</v>
      </c>
      <c r="D33" s="109" t="s">
        <v>85</v>
      </c>
      <c r="E33" s="108"/>
      <c r="F33" s="1574">
        <f>ROUND(PRODUCT(F32,C33/100),0)</f>
        <v>0</v>
      </c>
      <c r="G33" s="1575"/>
    </row>
    <row r="34" spans="1:7" s="259" customFormat="1" ht="19.5" customHeight="1" thickBot="1">
      <c r="A34" s="107" t="s">
        <v>84</v>
      </c>
      <c r="B34" s="106"/>
      <c r="C34" s="106"/>
      <c r="D34" s="106"/>
      <c r="E34" s="105"/>
      <c r="F34" s="1576">
        <f>ROUND(SUM(F30:F33),0)</f>
        <v>0</v>
      </c>
      <c r="G34" s="1577"/>
    </row>
    <row r="36" spans="1:8" ht="12.75">
      <c r="A36" s="260" t="s">
        <v>83</v>
      </c>
      <c r="B36" s="260"/>
      <c r="C36" s="260"/>
      <c r="D36" s="260"/>
      <c r="E36" s="260"/>
      <c r="F36" s="260"/>
      <c r="G36" s="260"/>
      <c r="H36" t="s">
        <v>1</v>
      </c>
    </row>
    <row r="37" spans="1:8" ht="14.25" customHeight="1">
      <c r="A37" s="260"/>
      <c r="B37" s="1599"/>
      <c r="C37" s="1599"/>
      <c r="D37" s="1599"/>
      <c r="E37" s="1599"/>
      <c r="F37" s="1599"/>
      <c r="G37" s="1599"/>
      <c r="H37" t="s">
        <v>1</v>
      </c>
    </row>
    <row r="38" spans="1:8" ht="12.75" customHeight="1">
      <c r="A38" s="261"/>
      <c r="B38" s="1599"/>
      <c r="C38" s="1599"/>
      <c r="D38" s="1599"/>
      <c r="E38" s="1599"/>
      <c r="F38" s="1599"/>
      <c r="G38" s="1599"/>
      <c r="H38" t="s">
        <v>1</v>
      </c>
    </row>
    <row r="39" spans="1:8" ht="12.75">
      <c r="A39" s="261"/>
      <c r="B39" s="1599"/>
      <c r="C39" s="1599"/>
      <c r="D39" s="1599"/>
      <c r="E39" s="1599"/>
      <c r="F39" s="1599"/>
      <c r="G39" s="1599"/>
      <c r="H39" t="s">
        <v>1</v>
      </c>
    </row>
    <row r="40" spans="1:8" ht="12.75">
      <c r="A40" s="261"/>
      <c r="B40" s="1599"/>
      <c r="C40" s="1599"/>
      <c r="D40" s="1599"/>
      <c r="E40" s="1599"/>
      <c r="F40" s="1599"/>
      <c r="G40" s="1599"/>
      <c r="H40" t="s">
        <v>1</v>
      </c>
    </row>
    <row r="41" spans="1:8" ht="12.75">
      <c r="A41" s="261"/>
      <c r="B41" s="1599"/>
      <c r="C41" s="1599"/>
      <c r="D41" s="1599"/>
      <c r="E41" s="1599"/>
      <c r="F41" s="1599"/>
      <c r="G41" s="1599"/>
      <c r="H41" t="s">
        <v>1</v>
      </c>
    </row>
    <row r="42" spans="1:8" ht="12.75">
      <c r="A42" s="261"/>
      <c r="B42" s="1599"/>
      <c r="C42" s="1599"/>
      <c r="D42" s="1599"/>
      <c r="E42" s="1599"/>
      <c r="F42" s="1599"/>
      <c r="G42" s="1599"/>
      <c r="H42" t="s">
        <v>1</v>
      </c>
    </row>
    <row r="43" spans="1:8" ht="12.75">
      <c r="A43" s="261"/>
      <c r="B43" s="1599"/>
      <c r="C43" s="1599"/>
      <c r="D43" s="1599"/>
      <c r="E43" s="1599"/>
      <c r="F43" s="1599"/>
      <c r="G43" s="1599"/>
      <c r="H43" t="s">
        <v>1</v>
      </c>
    </row>
    <row r="44" spans="1:8" ht="12.75">
      <c r="A44" s="261"/>
      <c r="B44" s="1599"/>
      <c r="C44" s="1599"/>
      <c r="D44" s="1599"/>
      <c r="E44" s="1599"/>
      <c r="F44" s="1599"/>
      <c r="G44" s="1599"/>
      <c r="H44" t="s">
        <v>1</v>
      </c>
    </row>
    <row r="45" spans="1:8" ht="0.75" customHeight="1">
      <c r="A45" s="261"/>
      <c r="B45" s="1599"/>
      <c r="C45" s="1599"/>
      <c r="D45" s="1599"/>
      <c r="E45" s="1599"/>
      <c r="F45" s="1599"/>
      <c r="G45" s="1599"/>
      <c r="H45" t="s">
        <v>1</v>
      </c>
    </row>
    <row r="46" spans="2:7" ht="12.75">
      <c r="B46" s="1600"/>
      <c r="C46" s="1600"/>
      <c r="D46" s="1600"/>
      <c r="E46" s="1600"/>
      <c r="F46" s="1600"/>
      <c r="G46" s="1600"/>
    </row>
    <row r="47" spans="2:7" ht="12.75">
      <c r="B47" s="1600"/>
      <c r="C47" s="1600"/>
      <c r="D47" s="1600"/>
      <c r="E47" s="1600"/>
      <c r="F47" s="1600"/>
      <c r="G47" s="1600"/>
    </row>
    <row r="48" spans="2:7" ht="12.75">
      <c r="B48" s="1600"/>
      <c r="C48" s="1600"/>
      <c r="D48" s="1600"/>
      <c r="E48" s="1600"/>
      <c r="F48" s="1600"/>
      <c r="G48" s="1600"/>
    </row>
    <row r="49" spans="2:7" ht="12.75">
      <c r="B49" s="1600"/>
      <c r="C49" s="1600"/>
      <c r="D49" s="1600"/>
      <c r="E49" s="1600"/>
      <c r="F49" s="1600"/>
      <c r="G49" s="1600"/>
    </row>
    <row r="50" spans="2:7" ht="12.75">
      <c r="B50" s="1600"/>
      <c r="C50" s="1600"/>
      <c r="D50" s="1600"/>
      <c r="E50" s="1600"/>
      <c r="F50" s="1600"/>
      <c r="G50" s="1600"/>
    </row>
    <row r="51" spans="2:7" ht="12.75">
      <c r="B51" s="1600"/>
      <c r="C51" s="1600"/>
      <c r="D51" s="1600"/>
      <c r="E51" s="1600"/>
      <c r="F51" s="1600"/>
      <c r="G51" s="1600"/>
    </row>
    <row r="52" spans="2:7" ht="12.75">
      <c r="B52" s="1600"/>
      <c r="C52" s="1600"/>
      <c r="D52" s="1600"/>
      <c r="E52" s="1600"/>
      <c r="F52" s="1600"/>
      <c r="G52" s="1600"/>
    </row>
    <row r="53" spans="2:7" ht="12.75">
      <c r="B53" s="1600"/>
      <c r="C53" s="1600"/>
      <c r="D53" s="1600"/>
      <c r="E53" s="1600"/>
      <c r="F53" s="1600"/>
      <c r="G53" s="1600"/>
    </row>
    <row r="54" spans="2:7" ht="12.75">
      <c r="B54" s="1600"/>
      <c r="C54" s="1600"/>
      <c r="D54" s="1600"/>
      <c r="E54" s="1600"/>
      <c r="F54" s="1600"/>
      <c r="G54" s="1600"/>
    </row>
    <row r="55" spans="2:7" ht="12.75">
      <c r="B55" s="1600"/>
      <c r="C55" s="1600"/>
      <c r="D55" s="1600"/>
      <c r="E55" s="1600"/>
      <c r="F55" s="1600"/>
      <c r="G55" s="160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94"/>
  <sheetViews>
    <sheetView view="pageBreakPreview" zoomScale="85" zoomScaleSheetLayoutView="85" workbookViewId="0" topLeftCell="A19">
      <selection activeCell="J65" sqref="J65"/>
    </sheetView>
  </sheetViews>
  <sheetFormatPr defaultColWidth="9.125" defaultRowHeight="12.75"/>
  <cols>
    <col min="1" max="1" width="3.625" style="611" customWidth="1"/>
    <col min="2" max="2" width="12.00390625" style="611" customWidth="1"/>
    <col min="3" max="3" width="48.375" style="1127" customWidth="1"/>
    <col min="4" max="4" width="7.875" style="1128" customWidth="1"/>
    <col min="5" max="5" width="5.50390625" style="1132" customWidth="1"/>
    <col min="6" max="6" width="11.625" style="1133" customWidth="1"/>
    <col min="7" max="7" width="16.50390625" style="1134" customWidth="1"/>
    <col min="8" max="8" width="3.625" style="611" customWidth="1"/>
    <col min="9" max="9" width="12.00390625" style="611" customWidth="1"/>
    <col min="10" max="10" width="63.625" style="1127" customWidth="1"/>
    <col min="11" max="11" width="7.875" style="1128" customWidth="1"/>
    <col min="12" max="12" width="5.50390625" style="1132" customWidth="1"/>
    <col min="13" max="13" width="9.875" style="1133" customWidth="1"/>
    <col min="14" max="14" width="16.50390625" style="1134" customWidth="1"/>
    <col min="15" max="15" width="14.625" style="1135" bestFit="1" customWidth="1"/>
    <col min="16" max="256" width="9.125" style="611" customWidth="1"/>
    <col min="257" max="257" width="3.625" style="611" customWidth="1"/>
    <col min="258" max="258" width="12.00390625" style="611" customWidth="1"/>
    <col min="259" max="259" width="48.375" style="611" customWidth="1"/>
    <col min="260" max="260" width="7.875" style="611" customWidth="1"/>
    <col min="261" max="261" width="5.50390625" style="611" customWidth="1"/>
    <col min="262" max="262" width="11.625" style="611" customWidth="1"/>
    <col min="263" max="263" width="16.50390625" style="611" customWidth="1"/>
    <col min="264" max="264" width="3.625" style="611" customWidth="1"/>
    <col min="265" max="265" width="12.00390625" style="611" customWidth="1"/>
    <col min="266" max="266" width="63.625" style="611" customWidth="1"/>
    <col min="267" max="267" width="7.875" style="611" customWidth="1"/>
    <col min="268" max="268" width="5.50390625" style="611" customWidth="1"/>
    <col min="269" max="269" width="9.875" style="611" customWidth="1"/>
    <col min="270" max="270" width="16.50390625" style="611" customWidth="1"/>
    <col min="271" max="271" width="14.625" style="611" bestFit="1" customWidth="1"/>
    <col min="272" max="512" width="9.125" style="611" customWidth="1"/>
    <col min="513" max="513" width="3.625" style="611" customWidth="1"/>
    <col min="514" max="514" width="12.00390625" style="611" customWidth="1"/>
    <col min="515" max="515" width="48.375" style="611" customWidth="1"/>
    <col min="516" max="516" width="7.875" style="611" customWidth="1"/>
    <col min="517" max="517" width="5.50390625" style="611" customWidth="1"/>
    <col min="518" max="518" width="11.625" style="611" customWidth="1"/>
    <col min="519" max="519" width="16.50390625" style="611" customWidth="1"/>
    <col min="520" max="520" width="3.625" style="611" customWidth="1"/>
    <col min="521" max="521" width="12.00390625" style="611" customWidth="1"/>
    <col min="522" max="522" width="63.625" style="611" customWidth="1"/>
    <col min="523" max="523" width="7.875" style="611" customWidth="1"/>
    <col min="524" max="524" width="5.50390625" style="611" customWidth="1"/>
    <col min="525" max="525" width="9.875" style="611" customWidth="1"/>
    <col min="526" max="526" width="16.50390625" style="611" customWidth="1"/>
    <col min="527" max="527" width="14.625" style="611" bestFit="1" customWidth="1"/>
    <col min="528" max="768" width="9.125" style="611" customWidth="1"/>
    <col min="769" max="769" width="3.625" style="611" customWidth="1"/>
    <col min="770" max="770" width="12.00390625" style="611" customWidth="1"/>
    <col min="771" max="771" width="48.375" style="611" customWidth="1"/>
    <col min="772" max="772" width="7.875" style="611" customWidth="1"/>
    <col min="773" max="773" width="5.50390625" style="611" customWidth="1"/>
    <col min="774" max="774" width="11.625" style="611" customWidth="1"/>
    <col min="775" max="775" width="16.50390625" style="611" customWidth="1"/>
    <col min="776" max="776" width="3.625" style="611" customWidth="1"/>
    <col min="777" max="777" width="12.00390625" style="611" customWidth="1"/>
    <col min="778" max="778" width="63.625" style="611" customWidth="1"/>
    <col min="779" max="779" width="7.875" style="611" customWidth="1"/>
    <col min="780" max="780" width="5.50390625" style="611" customWidth="1"/>
    <col min="781" max="781" width="9.875" style="611" customWidth="1"/>
    <col min="782" max="782" width="16.50390625" style="611" customWidth="1"/>
    <col min="783" max="783" width="14.625" style="611" bestFit="1" customWidth="1"/>
    <col min="784" max="1024" width="9.125" style="611" customWidth="1"/>
    <col min="1025" max="1025" width="3.625" style="611" customWidth="1"/>
    <col min="1026" max="1026" width="12.00390625" style="611" customWidth="1"/>
    <col min="1027" max="1027" width="48.375" style="611" customWidth="1"/>
    <col min="1028" max="1028" width="7.875" style="611" customWidth="1"/>
    <col min="1029" max="1029" width="5.50390625" style="611" customWidth="1"/>
    <col min="1030" max="1030" width="11.625" style="611" customWidth="1"/>
    <col min="1031" max="1031" width="16.50390625" style="611" customWidth="1"/>
    <col min="1032" max="1032" width="3.625" style="611" customWidth="1"/>
    <col min="1033" max="1033" width="12.00390625" style="611" customWidth="1"/>
    <col min="1034" max="1034" width="63.625" style="611" customWidth="1"/>
    <col min="1035" max="1035" width="7.875" style="611" customWidth="1"/>
    <col min="1036" max="1036" width="5.50390625" style="611" customWidth="1"/>
    <col min="1037" max="1037" width="9.875" style="611" customWidth="1"/>
    <col min="1038" max="1038" width="16.50390625" style="611" customWidth="1"/>
    <col min="1039" max="1039" width="14.625" style="611" bestFit="1" customWidth="1"/>
    <col min="1040" max="1280" width="9.125" style="611" customWidth="1"/>
    <col min="1281" max="1281" width="3.625" style="611" customWidth="1"/>
    <col min="1282" max="1282" width="12.00390625" style="611" customWidth="1"/>
    <col min="1283" max="1283" width="48.375" style="611" customWidth="1"/>
    <col min="1284" max="1284" width="7.875" style="611" customWidth="1"/>
    <col min="1285" max="1285" width="5.50390625" style="611" customWidth="1"/>
    <col min="1286" max="1286" width="11.625" style="611" customWidth="1"/>
    <col min="1287" max="1287" width="16.50390625" style="611" customWidth="1"/>
    <col min="1288" max="1288" width="3.625" style="611" customWidth="1"/>
    <col min="1289" max="1289" width="12.00390625" style="611" customWidth="1"/>
    <col min="1290" max="1290" width="63.625" style="611" customWidth="1"/>
    <col min="1291" max="1291" width="7.875" style="611" customWidth="1"/>
    <col min="1292" max="1292" width="5.50390625" style="611" customWidth="1"/>
    <col min="1293" max="1293" width="9.875" style="611" customWidth="1"/>
    <col min="1294" max="1294" width="16.50390625" style="611" customWidth="1"/>
    <col min="1295" max="1295" width="14.625" style="611" bestFit="1" customWidth="1"/>
    <col min="1296" max="1536" width="9.125" style="611" customWidth="1"/>
    <col min="1537" max="1537" width="3.625" style="611" customWidth="1"/>
    <col min="1538" max="1538" width="12.00390625" style="611" customWidth="1"/>
    <col min="1539" max="1539" width="48.375" style="611" customWidth="1"/>
    <col min="1540" max="1540" width="7.875" style="611" customWidth="1"/>
    <col min="1541" max="1541" width="5.50390625" style="611" customWidth="1"/>
    <col min="1542" max="1542" width="11.625" style="611" customWidth="1"/>
    <col min="1543" max="1543" width="16.50390625" style="611" customWidth="1"/>
    <col min="1544" max="1544" width="3.625" style="611" customWidth="1"/>
    <col min="1545" max="1545" width="12.00390625" style="611" customWidth="1"/>
    <col min="1546" max="1546" width="63.625" style="611" customWidth="1"/>
    <col min="1547" max="1547" width="7.875" style="611" customWidth="1"/>
    <col min="1548" max="1548" width="5.50390625" style="611" customWidth="1"/>
    <col min="1549" max="1549" width="9.875" style="611" customWidth="1"/>
    <col min="1550" max="1550" width="16.50390625" style="611" customWidth="1"/>
    <col min="1551" max="1551" width="14.625" style="611" bestFit="1" customWidth="1"/>
    <col min="1552" max="1792" width="9.125" style="611" customWidth="1"/>
    <col min="1793" max="1793" width="3.625" style="611" customWidth="1"/>
    <col min="1794" max="1794" width="12.00390625" style="611" customWidth="1"/>
    <col min="1795" max="1795" width="48.375" style="611" customWidth="1"/>
    <col min="1796" max="1796" width="7.875" style="611" customWidth="1"/>
    <col min="1797" max="1797" width="5.50390625" style="611" customWidth="1"/>
    <col min="1798" max="1798" width="11.625" style="611" customWidth="1"/>
    <col min="1799" max="1799" width="16.50390625" style="611" customWidth="1"/>
    <col min="1800" max="1800" width="3.625" style="611" customWidth="1"/>
    <col min="1801" max="1801" width="12.00390625" style="611" customWidth="1"/>
    <col min="1802" max="1802" width="63.625" style="611" customWidth="1"/>
    <col min="1803" max="1803" width="7.875" style="611" customWidth="1"/>
    <col min="1804" max="1804" width="5.50390625" style="611" customWidth="1"/>
    <col min="1805" max="1805" width="9.875" style="611" customWidth="1"/>
    <col min="1806" max="1806" width="16.50390625" style="611" customWidth="1"/>
    <col min="1807" max="1807" width="14.625" style="611" bestFit="1" customWidth="1"/>
    <col min="1808" max="2048" width="9.125" style="611" customWidth="1"/>
    <col min="2049" max="2049" width="3.625" style="611" customWidth="1"/>
    <col min="2050" max="2050" width="12.00390625" style="611" customWidth="1"/>
    <col min="2051" max="2051" width="48.375" style="611" customWidth="1"/>
    <col min="2052" max="2052" width="7.875" style="611" customWidth="1"/>
    <col min="2053" max="2053" width="5.50390625" style="611" customWidth="1"/>
    <col min="2054" max="2054" width="11.625" style="611" customWidth="1"/>
    <col min="2055" max="2055" width="16.50390625" style="611" customWidth="1"/>
    <col min="2056" max="2056" width="3.625" style="611" customWidth="1"/>
    <col min="2057" max="2057" width="12.00390625" style="611" customWidth="1"/>
    <col min="2058" max="2058" width="63.625" style="611" customWidth="1"/>
    <col min="2059" max="2059" width="7.875" style="611" customWidth="1"/>
    <col min="2060" max="2060" width="5.50390625" style="611" customWidth="1"/>
    <col min="2061" max="2061" width="9.875" style="611" customWidth="1"/>
    <col min="2062" max="2062" width="16.50390625" style="611" customWidth="1"/>
    <col min="2063" max="2063" width="14.625" style="611" bestFit="1" customWidth="1"/>
    <col min="2064" max="2304" width="9.125" style="611" customWidth="1"/>
    <col min="2305" max="2305" width="3.625" style="611" customWidth="1"/>
    <col min="2306" max="2306" width="12.00390625" style="611" customWidth="1"/>
    <col min="2307" max="2307" width="48.375" style="611" customWidth="1"/>
    <col min="2308" max="2308" width="7.875" style="611" customWidth="1"/>
    <col min="2309" max="2309" width="5.50390625" style="611" customWidth="1"/>
    <col min="2310" max="2310" width="11.625" style="611" customWidth="1"/>
    <col min="2311" max="2311" width="16.50390625" style="611" customWidth="1"/>
    <col min="2312" max="2312" width="3.625" style="611" customWidth="1"/>
    <col min="2313" max="2313" width="12.00390625" style="611" customWidth="1"/>
    <col min="2314" max="2314" width="63.625" style="611" customWidth="1"/>
    <col min="2315" max="2315" width="7.875" style="611" customWidth="1"/>
    <col min="2316" max="2316" width="5.50390625" style="611" customWidth="1"/>
    <col min="2317" max="2317" width="9.875" style="611" customWidth="1"/>
    <col min="2318" max="2318" width="16.50390625" style="611" customWidth="1"/>
    <col min="2319" max="2319" width="14.625" style="611" bestFit="1" customWidth="1"/>
    <col min="2320" max="2560" width="9.125" style="611" customWidth="1"/>
    <col min="2561" max="2561" width="3.625" style="611" customWidth="1"/>
    <col min="2562" max="2562" width="12.00390625" style="611" customWidth="1"/>
    <col min="2563" max="2563" width="48.375" style="611" customWidth="1"/>
    <col min="2564" max="2564" width="7.875" style="611" customWidth="1"/>
    <col min="2565" max="2565" width="5.50390625" style="611" customWidth="1"/>
    <col min="2566" max="2566" width="11.625" style="611" customWidth="1"/>
    <col min="2567" max="2567" width="16.50390625" style="611" customWidth="1"/>
    <col min="2568" max="2568" width="3.625" style="611" customWidth="1"/>
    <col min="2569" max="2569" width="12.00390625" style="611" customWidth="1"/>
    <col min="2570" max="2570" width="63.625" style="611" customWidth="1"/>
    <col min="2571" max="2571" width="7.875" style="611" customWidth="1"/>
    <col min="2572" max="2572" width="5.50390625" style="611" customWidth="1"/>
    <col min="2573" max="2573" width="9.875" style="611" customWidth="1"/>
    <col min="2574" max="2574" width="16.50390625" style="611" customWidth="1"/>
    <col min="2575" max="2575" width="14.625" style="611" bestFit="1" customWidth="1"/>
    <col min="2576" max="2816" width="9.125" style="611" customWidth="1"/>
    <col min="2817" max="2817" width="3.625" style="611" customWidth="1"/>
    <col min="2818" max="2818" width="12.00390625" style="611" customWidth="1"/>
    <col min="2819" max="2819" width="48.375" style="611" customWidth="1"/>
    <col min="2820" max="2820" width="7.875" style="611" customWidth="1"/>
    <col min="2821" max="2821" width="5.50390625" style="611" customWidth="1"/>
    <col min="2822" max="2822" width="11.625" style="611" customWidth="1"/>
    <col min="2823" max="2823" width="16.50390625" style="611" customWidth="1"/>
    <col min="2824" max="2824" width="3.625" style="611" customWidth="1"/>
    <col min="2825" max="2825" width="12.00390625" style="611" customWidth="1"/>
    <col min="2826" max="2826" width="63.625" style="611" customWidth="1"/>
    <col min="2827" max="2827" width="7.875" style="611" customWidth="1"/>
    <col min="2828" max="2828" width="5.50390625" style="611" customWidth="1"/>
    <col min="2829" max="2829" width="9.875" style="611" customWidth="1"/>
    <col min="2830" max="2830" width="16.50390625" style="611" customWidth="1"/>
    <col min="2831" max="2831" width="14.625" style="611" bestFit="1" customWidth="1"/>
    <col min="2832" max="3072" width="9.125" style="611" customWidth="1"/>
    <col min="3073" max="3073" width="3.625" style="611" customWidth="1"/>
    <col min="3074" max="3074" width="12.00390625" style="611" customWidth="1"/>
    <col min="3075" max="3075" width="48.375" style="611" customWidth="1"/>
    <col min="3076" max="3076" width="7.875" style="611" customWidth="1"/>
    <col min="3077" max="3077" width="5.50390625" style="611" customWidth="1"/>
    <col min="3078" max="3078" width="11.625" style="611" customWidth="1"/>
    <col min="3079" max="3079" width="16.50390625" style="611" customWidth="1"/>
    <col min="3080" max="3080" width="3.625" style="611" customWidth="1"/>
    <col min="3081" max="3081" width="12.00390625" style="611" customWidth="1"/>
    <col min="3082" max="3082" width="63.625" style="611" customWidth="1"/>
    <col min="3083" max="3083" width="7.875" style="611" customWidth="1"/>
    <col min="3084" max="3084" width="5.50390625" style="611" customWidth="1"/>
    <col min="3085" max="3085" width="9.875" style="611" customWidth="1"/>
    <col min="3086" max="3086" width="16.50390625" style="611" customWidth="1"/>
    <col min="3087" max="3087" width="14.625" style="611" bestFit="1" customWidth="1"/>
    <col min="3088" max="3328" width="9.125" style="611" customWidth="1"/>
    <col min="3329" max="3329" width="3.625" style="611" customWidth="1"/>
    <col min="3330" max="3330" width="12.00390625" style="611" customWidth="1"/>
    <col min="3331" max="3331" width="48.375" style="611" customWidth="1"/>
    <col min="3332" max="3332" width="7.875" style="611" customWidth="1"/>
    <col min="3333" max="3333" width="5.50390625" style="611" customWidth="1"/>
    <col min="3334" max="3334" width="11.625" style="611" customWidth="1"/>
    <col min="3335" max="3335" width="16.50390625" style="611" customWidth="1"/>
    <col min="3336" max="3336" width="3.625" style="611" customWidth="1"/>
    <col min="3337" max="3337" width="12.00390625" style="611" customWidth="1"/>
    <col min="3338" max="3338" width="63.625" style="611" customWidth="1"/>
    <col min="3339" max="3339" width="7.875" style="611" customWidth="1"/>
    <col min="3340" max="3340" width="5.50390625" style="611" customWidth="1"/>
    <col min="3341" max="3341" width="9.875" style="611" customWidth="1"/>
    <col min="3342" max="3342" width="16.50390625" style="611" customWidth="1"/>
    <col min="3343" max="3343" width="14.625" style="611" bestFit="1" customWidth="1"/>
    <col min="3344" max="3584" width="9.125" style="611" customWidth="1"/>
    <col min="3585" max="3585" width="3.625" style="611" customWidth="1"/>
    <col min="3586" max="3586" width="12.00390625" style="611" customWidth="1"/>
    <col min="3587" max="3587" width="48.375" style="611" customWidth="1"/>
    <col min="3588" max="3588" width="7.875" style="611" customWidth="1"/>
    <col min="3589" max="3589" width="5.50390625" style="611" customWidth="1"/>
    <col min="3590" max="3590" width="11.625" style="611" customWidth="1"/>
    <col min="3591" max="3591" width="16.50390625" style="611" customWidth="1"/>
    <col min="3592" max="3592" width="3.625" style="611" customWidth="1"/>
    <col min="3593" max="3593" width="12.00390625" style="611" customWidth="1"/>
    <col min="3594" max="3594" width="63.625" style="611" customWidth="1"/>
    <col min="3595" max="3595" width="7.875" style="611" customWidth="1"/>
    <col min="3596" max="3596" width="5.50390625" style="611" customWidth="1"/>
    <col min="3597" max="3597" width="9.875" style="611" customWidth="1"/>
    <col min="3598" max="3598" width="16.50390625" style="611" customWidth="1"/>
    <col min="3599" max="3599" width="14.625" style="611" bestFit="1" customWidth="1"/>
    <col min="3600" max="3840" width="9.125" style="611" customWidth="1"/>
    <col min="3841" max="3841" width="3.625" style="611" customWidth="1"/>
    <col min="3842" max="3842" width="12.00390625" style="611" customWidth="1"/>
    <col min="3843" max="3843" width="48.375" style="611" customWidth="1"/>
    <col min="3844" max="3844" width="7.875" style="611" customWidth="1"/>
    <col min="3845" max="3845" width="5.50390625" style="611" customWidth="1"/>
    <col min="3846" max="3846" width="11.625" style="611" customWidth="1"/>
    <col min="3847" max="3847" width="16.50390625" style="611" customWidth="1"/>
    <col min="3848" max="3848" width="3.625" style="611" customWidth="1"/>
    <col min="3849" max="3849" width="12.00390625" style="611" customWidth="1"/>
    <col min="3850" max="3850" width="63.625" style="611" customWidth="1"/>
    <col min="3851" max="3851" width="7.875" style="611" customWidth="1"/>
    <col min="3852" max="3852" width="5.50390625" style="611" customWidth="1"/>
    <col min="3853" max="3853" width="9.875" style="611" customWidth="1"/>
    <col min="3854" max="3854" width="16.50390625" style="611" customWidth="1"/>
    <col min="3855" max="3855" width="14.625" style="611" bestFit="1" customWidth="1"/>
    <col min="3856" max="4096" width="9.125" style="611" customWidth="1"/>
    <col min="4097" max="4097" width="3.625" style="611" customWidth="1"/>
    <col min="4098" max="4098" width="12.00390625" style="611" customWidth="1"/>
    <col min="4099" max="4099" width="48.375" style="611" customWidth="1"/>
    <col min="4100" max="4100" width="7.875" style="611" customWidth="1"/>
    <col min="4101" max="4101" width="5.50390625" style="611" customWidth="1"/>
    <col min="4102" max="4102" width="11.625" style="611" customWidth="1"/>
    <col min="4103" max="4103" width="16.50390625" style="611" customWidth="1"/>
    <col min="4104" max="4104" width="3.625" style="611" customWidth="1"/>
    <col min="4105" max="4105" width="12.00390625" style="611" customWidth="1"/>
    <col min="4106" max="4106" width="63.625" style="611" customWidth="1"/>
    <col min="4107" max="4107" width="7.875" style="611" customWidth="1"/>
    <col min="4108" max="4108" width="5.50390625" style="611" customWidth="1"/>
    <col min="4109" max="4109" width="9.875" style="611" customWidth="1"/>
    <col min="4110" max="4110" width="16.50390625" style="611" customWidth="1"/>
    <col min="4111" max="4111" width="14.625" style="611" bestFit="1" customWidth="1"/>
    <col min="4112" max="4352" width="9.125" style="611" customWidth="1"/>
    <col min="4353" max="4353" width="3.625" style="611" customWidth="1"/>
    <col min="4354" max="4354" width="12.00390625" style="611" customWidth="1"/>
    <col min="4355" max="4355" width="48.375" style="611" customWidth="1"/>
    <col min="4356" max="4356" width="7.875" style="611" customWidth="1"/>
    <col min="4357" max="4357" width="5.50390625" style="611" customWidth="1"/>
    <col min="4358" max="4358" width="11.625" style="611" customWidth="1"/>
    <col min="4359" max="4359" width="16.50390625" style="611" customWidth="1"/>
    <col min="4360" max="4360" width="3.625" style="611" customWidth="1"/>
    <col min="4361" max="4361" width="12.00390625" style="611" customWidth="1"/>
    <col min="4362" max="4362" width="63.625" style="611" customWidth="1"/>
    <col min="4363" max="4363" width="7.875" style="611" customWidth="1"/>
    <col min="4364" max="4364" width="5.50390625" style="611" customWidth="1"/>
    <col min="4365" max="4365" width="9.875" style="611" customWidth="1"/>
    <col min="4366" max="4366" width="16.50390625" style="611" customWidth="1"/>
    <col min="4367" max="4367" width="14.625" style="611" bestFit="1" customWidth="1"/>
    <col min="4368" max="4608" width="9.125" style="611" customWidth="1"/>
    <col min="4609" max="4609" width="3.625" style="611" customWidth="1"/>
    <col min="4610" max="4610" width="12.00390625" style="611" customWidth="1"/>
    <col min="4611" max="4611" width="48.375" style="611" customWidth="1"/>
    <col min="4612" max="4612" width="7.875" style="611" customWidth="1"/>
    <col min="4613" max="4613" width="5.50390625" style="611" customWidth="1"/>
    <col min="4614" max="4614" width="11.625" style="611" customWidth="1"/>
    <col min="4615" max="4615" width="16.50390625" style="611" customWidth="1"/>
    <col min="4616" max="4616" width="3.625" style="611" customWidth="1"/>
    <col min="4617" max="4617" width="12.00390625" style="611" customWidth="1"/>
    <col min="4618" max="4618" width="63.625" style="611" customWidth="1"/>
    <col min="4619" max="4619" width="7.875" style="611" customWidth="1"/>
    <col min="4620" max="4620" width="5.50390625" style="611" customWidth="1"/>
    <col min="4621" max="4621" width="9.875" style="611" customWidth="1"/>
    <col min="4622" max="4622" width="16.50390625" style="611" customWidth="1"/>
    <col min="4623" max="4623" width="14.625" style="611" bestFit="1" customWidth="1"/>
    <col min="4624" max="4864" width="9.125" style="611" customWidth="1"/>
    <col min="4865" max="4865" width="3.625" style="611" customWidth="1"/>
    <col min="4866" max="4866" width="12.00390625" style="611" customWidth="1"/>
    <col min="4867" max="4867" width="48.375" style="611" customWidth="1"/>
    <col min="4868" max="4868" width="7.875" style="611" customWidth="1"/>
    <col min="4869" max="4869" width="5.50390625" style="611" customWidth="1"/>
    <col min="4870" max="4870" width="11.625" style="611" customWidth="1"/>
    <col min="4871" max="4871" width="16.50390625" style="611" customWidth="1"/>
    <col min="4872" max="4872" width="3.625" style="611" customWidth="1"/>
    <col min="4873" max="4873" width="12.00390625" style="611" customWidth="1"/>
    <col min="4874" max="4874" width="63.625" style="611" customWidth="1"/>
    <col min="4875" max="4875" width="7.875" style="611" customWidth="1"/>
    <col min="4876" max="4876" width="5.50390625" style="611" customWidth="1"/>
    <col min="4877" max="4877" width="9.875" style="611" customWidth="1"/>
    <col min="4878" max="4878" width="16.50390625" style="611" customWidth="1"/>
    <col min="4879" max="4879" width="14.625" style="611" bestFit="1" customWidth="1"/>
    <col min="4880" max="5120" width="9.125" style="611" customWidth="1"/>
    <col min="5121" max="5121" width="3.625" style="611" customWidth="1"/>
    <col min="5122" max="5122" width="12.00390625" style="611" customWidth="1"/>
    <col min="5123" max="5123" width="48.375" style="611" customWidth="1"/>
    <col min="5124" max="5124" width="7.875" style="611" customWidth="1"/>
    <col min="5125" max="5125" width="5.50390625" style="611" customWidth="1"/>
    <col min="5126" max="5126" width="11.625" style="611" customWidth="1"/>
    <col min="5127" max="5127" width="16.50390625" style="611" customWidth="1"/>
    <col min="5128" max="5128" width="3.625" style="611" customWidth="1"/>
    <col min="5129" max="5129" width="12.00390625" style="611" customWidth="1"/>
    <col min="5130" max="5130" width="63.625" style="611" customWidth="1"/>
    <col min="5131" max="5131" width="7.875" style="611" customWidth="1"/>
    <col min="5132" max="5132" width="5.50390625" style="611" customWidth="1"/>
    <col min="5133" max="5133" width="9.875" style="611" customWidth="1"/>
    <col min="5134" max="5134" width="16.50390625" style="611" customWidth="1"/>
    <col min="5135" max="5135" width="14.625" style="611" bestFit="1" customWidth="1"/>
    <col min="5136" max="5376" width="9.125" style="611" customWidth="1"/>
    <col min="5377" max="5377" width="3.625" style="611" customWidth="1"/>
    <col min="5378" max="5378" width="12.00390625" style="611" customWidth="1"/>
    <col min="5379" max="5379" width="48.375" style="611" customWidth="1"/>
    <col min="5380" max="5380" width="7.875" style="611" customWidth="1"/>
    <col min="5381" max="5381" width="5.50390625" style="611" customWidth="1"/>
    <col min="5382" max="5382" width="11.625" style="611" customWidth="1"/>
    <col min="5383" max="5383" width="16.50390625" style="611" customWidth="1"/>
    <col min="5384" max="5384" width="3.625" style="611" customWidth="1"/>
    <col min="5385" max="5385" width="12.00390625" style="611" customWidth="1"/>
    <col min="5386" max="5386" width="63.625" style="611" customWidth="1"/>
    <col min="5387" max="5387" width="7.875" style="611" customWidth="1"/>
    <col min="5388" max="5388" width="5.50390625" style="611" customWidth="1"/>
    <col min="5389" max="5389" width="9.875" style="611" customWidth="1"/>
    <col min="5390" max="5390" width="16.50390625" style="611" customWidth="1"/>
    <col min="5391" max="5391" width="14.625" style="611" bestFit="1" customWidth="1"/>
    <col min="5392" max="5632" width="9.125" style="611" customWidth="1"/>
    <col min="5633" max="5633" width="3.625" style="611" customWidth="1"/>
    <col min="5634" max="5634" width="12.00390625" style="611" customWidth="1"/>
    <col min="5635" max="5635" width="48.375" style="611" customWidth="1"/>
    <col min="5636" max="5636" width="7.875" style="611" customWidth="1"/>
    <col min="5637" max="5637" width="5.50390625" style="611" customWidth="1"/>
    <col min="5638" max="5638" width="11.625" style="611" customWidth="1"/>
    <col min="5639" max="5639" width="16.50390625" style="611" customWidth="1"/>
    <col min="5640" max="5640" width="3.625" style="611" customWidth="1"/>
    <col min="5641" max="5641" width="12.00390625" style="611" customWidth="1"/>
    <col min="5642" max="5642" width="63.625" style="611" customWidth="1"/>
    <col min="5643" max="5643" width="7.875" style="611" customWidth="1"/>
    <col min="5644" max="5644" width="5.50390625" style="611" customWidth="1"/>
    <col min="5645" max="5645" width="9.875" style="611" customWidth="1"/>
    <col min="5646" max="5646" width="16.50390625" style="611" customWidth="1"/>
    <col min="5647" max="5647" width="14.625" style="611" bestFit="1" customWidth="1"/>
    <col min="5648" max="5888" width="9.125" style="611" customWidth="1"/>
    <col min="5889" max="5889" width="3.625" style="611" customWidth="1"/>
    <col min="5890" max="5890" width="12.00390625" style="611" customWidth="1"/>
    <col min="5891" max="5891" width="48.375" style="611" customWidth="1"/>
    <col min="5892" max="5892" width="7.875" style="611" customWidth="1"/>
    <col min="5893" max="5893" width="5.50390625" style="611" customWidth="1"/>
    <col min="5894" max="5894" width="11.625" style="611" customWidth="1"/>
    <col min="5895" max="5895" width="16.50390625" style="611" customWidth="1"/>
    <col min="5896" max="5896" width="3.625" style="611" customWidth="1"/>
    <col min="5897" max="5897" width="12.00390625" style="611" customWidth="1"/>
    <col min="5898" max="5898" width="63.625" style="611" customWidth="1"/>
    <col min="5899" max="5899" width="7.875" style="611" customWidth="1"/>
    <col min="5900" max="5900" width="5.50390625" style="611" customWidth="1"/>
    <col min="5901" max="5901" width="9.875" style="611" customWidth="1"/>
    <col min="5902" max="5902" width="16.50390625" style="611" customWidth="1"/>
    <col min="5903" max="5903" width="14.625" style="611" bestFit="1" customWidth="1"/>
    <col min="5904" max="6144" width="9.125" style="611" customWidth="1"/>
    <col min="6145" max="6145" width="3.625" style="611" customWidth="1"/>
    <col min="6146" max="6146" width="12.00390625" style="611" customWidth="1"/>
    <col min="6147" max="6147" width="48.375" style="611" customWidth="1"/>
    <col min="6148" max="6148" width="7.875" style="611" customWidth="1"/>
    <col min="6149" max="6149" width="5.50390625" style="611" customWidth="1"/>
    <col min="6150" max="6150" width="11.625" style="611" customWidth="1"/>
    <col min="6151" max="6151" width="16.50390625" style="611" customWidth="1"/>
    <col min="6152" max="6152" width="3.625" style="611" customWidth="1"/>
    <col min="6153" max="6153" width="12.00390625" style="611" customWidth="1"/>
    <col min="6154" max="6154" width="63.625" style="611" customWidth="1"/>
    <col min="6155" max="6155" width="7.875" style="611" customWidth="1"/>
    <col min="6156" max="6156" width="5.50390625" style="611" customWidth="1"/>
    <col min="6157" max="6157" width="9.875" style="611" customWidth="1"/>
    <col min="6158" max="6158" width="16.50390625" style="611" customWidth="1"/>
    <col min="6159" max="6159" width="14.625" style="611" bestFit="1" customWidth="1"/>
    <col min="6160" max="6400" width="9.125" style="611" customWidth="1"/>
    <col min="6401" max="6401" width="3.625" style="611" customWidth="1"/>
    <col min="6402" max="6402" width="12.00390625" style="611" customWidth="1"/>
    <col min="6403" max="6403" width="48.375" style="611" customWidth="1"/>
    <col min="6404" max="6404" width="7.875" style="611" customWidth="1"/>
    <col min="6405" max="6405" width="5.50390625" style="611" customWidth="1"/>
    <col min="6406" max="6406" width="11.625" style="611" customWidth="1"/>
    <col min="6407" max="6407" width="16.50390625" style="611" customWidth="1"/>
    <col min="6408" max="6408" width="3.625" style="611" customWidth="1"/>
    <col min="6409" max="6409" width="12.00390625" style="611" customWidth="1"/>
    <col min="6410" max="6410" width="63.625" style="611" customWidth="1"/>
    <col min="6411" max="6411" width="7.875" style="611" customWidth="1"/>
    <col min="6412" max="6412" width="5.50390625" style="611" customWidth="1"/>
    <col min="6413" max="6413" width="9.875" style="611" customWidth="1"/>
    <col min="6414" max="6414" width="16.50390625" style="611" customWidth="1"/>
    <col min="6415" max="6415" width="14.625" style="611" bestFit="1" customWidth="1"/>
    <col min="6416" max="6656" width="9.125" style="611" customWidth="1"/>
    <col min="6657" max="6657" width="3.625" style="611" customWidth="1"/>
    <col min="6658" max="6658" width="12.00390625" style="611" customWidth="1"/>
    <col min="6659" max="6659" width="48.375" style="611" customWidth="1"/>
    <col min="6660" max="6660" width="7.875" style="611" customWidth="1"/>
    <col min="6661" max="6661" width="5.50390625" style="611" customWidth="1"/>
    <col min="6662" max="6662" width="11.625" style="611" customWidth="1"/>
    <col min="6663" max="6663" width="16.50390625" style="611" customWidth="1"/>
    <col min="6664" max="6664" width="3.625" style="611" customWidth="1"/>
    <col min="6665" max="6665" width="12.00390625" style="611" customWidth="1"/>
    <col min="6666" max="6666" width="63.625" style="611" customWidth="1"/>
    <col min="6667" max="6667" width="7.875" style="611" customWidth="1"/>
    <col min="6668" max="6668" width="5.50390625" style="611" customWidth="1"/>
    <col min="6669" max="6669" width="9.875" style="611" customWidth="1"/>
    <col min="6670" max="6670" width="16.50390625" style="611" customWidth="1"/>
    <col min="6671" max="6671" width="14.625" style="611" bestFit="1" customWidth="1"/>
    <col min="6672" max="6912" width="9.125" style="611" customWidth="1"/>
    <col min="6913" max="6913" width="3.625" style="611" customWidth="1"/>
    <col min="6914" max="6914" width="12.00390625" style="611" customWidth="1"/>
    <col min="6915" max="6915" width="48.375" style="611" customWidth="1"/>
    <col min="6916" max="6916" width="7.875" style="611" customWidth="1"/>
    <col min="6917" max="6917" width="5.50390625" style="611" customWidth="1"/>
    <col min="6918" max="6918" width="11.625" style="611" customWidth="1"/>
    <col min="6919" max="6919" width="16.50390625" style="611" customWidth="1"/>
    <col min="6920" max="6920" width="3.625" style="611" customWidth="1"/>
    <col min="6921" max="6921" width="12.00390625" style="611" customWidth="1"/>
    <col min="6922" max="6922" width="63.625" style="611" customWidth="1"/>
    <col min="6923" max="6923" width="7.875" style="611" customWidth="1"/>
    <col min="6924" max="6924" width="5.50390625" style="611" customWidth="1"/>
    <col min="6925" max="6925" width="9.875" style="611" customWidth="1"/>
    <col min="6926" max="6926" width="16.50390625" style="611" customWidth="1"/>
    <col min="6927" max="6927" width="14.625" style="611" bestFit="1" customWidth="1"/>
    <col min="6928" max="7168" width="9.125" style="611" customWidth="1"/>
    <col min="7169" max="7169" width="3.625" style="611" customWidth="1"/>
    <col min="7170" max="7170" width="12.00390625" style="611" customWidth="1"/>
    <col min="7171" max="7171" width="48.375" style="611" customWidth="1"/>
    <col min="7172" max="7172" width="7.875" style="611" customWidth="1"/>
    <col min="7173" max="7173" width="5.50390625" style="611" customWidth="1"/>
    <col min="7174" max="7174" width="11.625" style="611" customWidth="1"/>
    <col min="7175" max="7175" width="16.50390625" style="611" customWidth="1"/>
    <col min="7176" max="7176" width="3.625" style="611" customWidth="1"/>
    <col min="7177" max="7177" width="12.00390625" style="611" customWidth="1"/>
    <col min="7178" max="7178" width="63.625" style="611" customWidth="1"/>
    <col min="7179" max="7179" width="7.875" style="611" customWidth="1"/>
    <col min="7180" max="7180" width="5.50390625" style="611" customWidth="1"/>
    <col min="7181" max="7181" width="9.875" style="611" customWidth="1"/>
    <col min="7182" max="7182" width="16.50390625" style="611" customWidth="1"/>
    <col min="7183" max="7183" width="14.625" style="611" bestFit="1" customWidth="1"/>
    <col min="7184" max="7424" width="9.125" style="611" customWidth="1"/>
    <col min="7425" max="7425" width="3.625" style="611" customWidth="1"/>
    <col min="7426" max="7426" width="12.00390625" style="611" customWidth="1"/>
    <col min="7427" max="7427" width="48.375" style="611" customWidth="1"/>
    <col min="7428" max="7428" width="7.875" style="611" customWidth="1"/>
    <col min="7429" max="7429" width="5.50390625" style="611" customWidth="1"/>
    <col min="7430" max="7430" width="11.625" style="611" customWidth="1"/>
    <col min="7431" max="7431" width="16.50390625" style="611" customWidth="1"/>
    <col min="7432" max="7432" width="3.625" style="611" customWidth="1"/>
    <col min="7433" max="7433" width="12.00390625" style="611" customWidth="1"/>
    <col min="7434" max="7434" width="63.625" style="611" customWidth="1"/>
    <col min="7435" max="7435" width="7.875" style="611" customWidth="1"/>
    <col min="7436" max="7436" width="5.50390625" style="611" customWidth="1"/>
    <col min="7437" max="7437" width="9.875" style="611" customWidth="1"/>
    <col min="7438" max="7438" width="16.50390625" style="611" customWidth="1"/>
    <col min="7439" max="7439" width="14.625" style="611" bestFit="1" customWidth="1"/>
    <col min="7440" max="7680" width="9.125" style="611" customWidth="1"/>
    <col min="7681" max="7681" width="3.625" style="611" customWidth="1"/>
    <col min="7682" max="7682" width="12.00390625" style="611" customWidth="1"/>
    <col min="7683" max="7683" width="48.375" style="611" customWidth="1"/>
    <col min="7684" max="7684" width="7.875" style="611" customWidth="1"/>
    <col min="7685" max="7685" width="5.50390625" style="611" customWidth="1"/>
    <col min="7686" max="7686" width="11.625" style="611" customWidth="1"/>
    <col min="7687" max="7687" width="16.50390625" style="611" customWidth="1"/>
    <col min="7688" max="7688" width="3.625" style="611" customWidth="1"/>
    <col min="7689" max="7689" width="12.00390625" style="611" customWidth="1"/>
    <col min="7690" max="7690" width="63.625" style="611" customWidth="1"/>
    <col min="7691" max="7691" width="7.875" style="611" customWidth="1"/>
    <col min="7692" max="7692" width="5.50390625" style="611" customWidth="1"/>
    <col min="7693" max="7693" width="9.875" style="611" customWidth="1"/>
    <col min="7694" max="7694" width="16.50390625" style="611" customWidth="1"/>
    <col min="7695" max="7695" width="14.625" style="611" bestFit="1" customWidth="1"/>
    <col min="7696" max="7936" width="9.125" style="611" customWidth="1"/>
    <col min="7937" max="7937" width="3.625" style="611" customWidth="1"/>
    <col min="7938" max="7938" width="12.00390625" style="611" customWidth="1"/>
    <col min="7939" max="7939" width="48.375" style="611" customWidth="1"/>
    <col min="7940" max="7940" width="7.875" style="611" customWidth="1"/>
    <col min="7941" max="7941" width="5.50390625" style="611" customWidth="1"/>
    <col min="7942" max="7942" width="11.625" style="611" customWidth="1"/>
    <col min="7943" max="7943" width="16.50390625" style="611" customWidth="1"/>
    <col min="7944" max="7944" width="3.625" style="611" customWidth="1"/>
    <col min="7945" max="7945" width="12.00390625" style="611" customWidth="1"/>
    <col min="7946" max="7946" width="63.625" style="611" customWidth="1"/>
    <col min="7947" max="7947" width="7.875" style="611" customWidth="1"/>
    <col min="7948" max="7948" width="5.50390625" style="611" customWidth="1"/>
    <col min="7949" max="7949" width="9.875" style="611" customWidth="1"/>
    <col min="7950" max="7950" width="16.50390625" style="611" customWidth="1"/>
    <col min="7951" max="7951" width="14.625" style="611" bestFit="1" customWidth="1"/>
    <col min="7952" max="8192" width="9.125" style="611" customWidth="1"/>
    <col min="8193" max="8193" width="3.625" style="611" customWidth="1"/>
    <col min="8194" max="8194" width="12.00390625" style="611" customWidth="1"/>
    <col min="8195" max="8195" width="48.375" style="611" customWidth="1"/>
    <col min="8196" max="8196" width="7.875" style="611" customWidth="1"/>
    <col min="8197" max="8197" width="5.50390625" style="611" customWidth="1"/>
    <col min="8198" max="8198" width="11.625" style="611" customWidth="1"/>
    <col min="8199" max="8199" width="16.50390625" style="611" customWidth="1"/>
    <col min="8200" max="8200" width="3.625" style="611" customWidth="1"/>
    <col min="8201" max="8201" width="12.00390625" style="611" customWidth="1"/>
    <col min="8202" max="8202" width="63.625" style="611" customWidth="1"/>
    <col min="8203" max="8203" width="7.875" style="611" customWidth="1"/>
    <col min="8204" max="8204" width="5.50390625" style="611" customWidth="1"/>
    <col min="8205" max="8205" width="9.875" style="611" customWidth="1"/>
    <col min="8206" max="8206" width="16.50390625" style="611" customWidth="1"/>
    <col min="8207" max="8207" width="14.625" style="611" bestFit="1" customWidth="1"/>
    <col min="8208" max="8448" width="9.125" style="611" customWidth="1"/>
    <col min="8449" max="8449" width="3.625" style="611" customWidth="1"/>
    <col min="8450" max="8450" width="12.00390625" style="611" customWidth="1"/>
    <col min="8451" max="8451" width="48.375" style="611" customWidth="1"/>
    <col min="8452" max="8452" width="7.875" style="611" customWidth="1"/>
    <col min="8453" max="8453" width="5.50390625" style="611" customWidth="1"/>
    <col min="8454" max="8454" width="11.625" style="611" customWidth="1"/>
    <col min="8455" max="8455" width="16.50390625" style="611" customWidth="1"/>
    <col min="8456" max="8456" width="3.625" style="611" customWidth="1"/>
    <col min="8457" max="8457" width="12.00390625" style="611" customWidth="1"/>
    <col min="8458" max="8458" width="63.625" style="611" customWidth="1"/>
    <col min="8459" max="8459" width="7.875" style="611" customWidth="1"/>
    <col min="8460" max="8460" width="5.50390625" style="611" customWidth="1"/>
    <col min="8461" max="8461" width="9.875" style="611" customWidth="1"/>
    <col min="8462" max="8462" width="16.50390625" style="611" customWidth="1"/>
    <col min="8463" max="8463" width="14.625" style="611" bestFit="1" customWidth="1"/>
    <col min="8464" max="8704" width="9.125" style="611" customWidth="1"/>
    <col min="8705" max="8705" width="3.625" style="611" customWidth="1"/>
    <col min="8706" max="8706" width="12.00390625" style="611" customWidth="1"/>
    <col min="8707" max="8707" width="48.375" style="611" customWidth="1"/>
    <col min="8708" max="8708" width="7.875" style="611" customWidth="1"/>
    <col min="8709" max="8709" width="5.50390625" style="611" customWidth="1"/>
    <col min="8710" max="8710" width="11.625" style="611" customWidth="1"/>
    <col min="8711" max="8711" width="16.50390625" style="611" customWidth="1"/>
    <col min="8712" max="8712" width="3.625" style="611" customWidth="1"/>
    <col min="8713" max="8713" width="12.00390625" style="611" customWidth="1"/>
    <col min="8714" max="8714" width="63.625" style="611" customWidth="1"/>
    <col min="8715" max="8715" width="7.875" style="611" customWidth="1"/>
    <col min="8716" max="8716" width="5.50390625" style="611" customWidth="1"/>
    <col min="8717" max="8717" width="9.875" style="611" customWidth="1"/>
    <col min="8718" max="8718" width="16.50390625" style="611" customWidth="1"/>
    <col min="8719" max="8719" width="14.625" style="611" bestFit="1" customWidth="1"/>
    <col min="8720" max="8960" width="9.125" style="611" customWidth="1"/>
    <col min="8961" max="8961" width="3.625" style="611" customWidth="1"/>
    <col min="8962" max="8962" width="12.00390625" style="611" customWidth="1"/>
    <col min="8963" max="8963" width="48.375" style="611" customWidth="1"/>
    <col min="8964" max="8964" width="7.875" style="611" customWidth="1"/>
    <col min="8965" max="8965" width="5.50390625" style="611" customWidth="1"/>
    <col min="8966" max="8966" width="11.625" style="611" customWidth="1"/>
    <col min="8967" max="8967" width="16.50390625" style="611" customWidth="1"/>
    <col min="8968" max="8968" width="3.625" style="611" customWidth="1"/>
    <col min="8969" max="8969" width="12.00390625" style="611" customWidth="1"/>
    <col min="8970" max="8970" width="63.625" style="611" customWidth="1"/>
    <col min="8971" max="8971" width="7.875" style="611" customWidth="1"/>
    <col min="8972" max="8972" width="5.50390625" style="611" customWidth="1"/>
    <col min="8973" max="8973" width="9.875" style="611" customWidth="1"/>
    <col min="8974" max="8974" width="16.50390625" style="611" customWidth="1"/>
    <col min="8975" max="8975" width="14.625" style="611" bestFit="1" customWidth="1"/>
    <col min="8976" max="9216" width="9.125" style="611" customWidth="1"/>
    <col min="9217" max="9217" width="3.625" style="611" customWidth="1"/>
    <col min="9218" max="9218" width="12.00390625" style="611" customWidth="1"/>
    <col min="9219" max="9219" width="48.375" style="611" customWidth="1"/>
    <col min="9220" max="9220" width="7.875" style="611" customWidth="1"/>
    <col min="9221" max="9221" width="5.50390625" style="611" customWidth="1"/>
    <col min="9222" max="9222" width="11.625" style="611" customWidth="1"/>
    <col min="9223" max="9223" width="16.50390625" style="611" customWidth="1"/>
    <col min="9224" max="9224" width="3.625" style="611" customWidth="1"/>
    <col min="9225" max="9225" width="12.00390625" style="611" customWidth="1"/>
    <col min="9226" max="9226" width="63.625" style="611" customWidth="1"/>
    <col min="9227" max="9227" width="7.875" style="611" customWidth="1"/>
    <col min="9228" max="9228" width="5.50390625" style="611" customWidth="1"/>
    <col min="9229" max="9229" width="9.875" style="611" customWidth="1"/>
    <col min="9230" max="9230" width="16.50390625" style="611" customWidth="1"/>
    <col min="9231" max="9231" width="14.625" style="611" bestFit="1" customWidth="1"/>
    <col min="9232" max="9472" width="9.125" style="611" customWidth="1"/>
    <col min="9473" max="9473" width="3.625" style="611" customWidth="1"/>
    <col min="9474" max="9474" width="12.00390625" style="611" customWidth="1"/>
    <col min="9475" max="9475" width="48.375" style="611" customWidth="1"/>
    <col min="9476" max="9476" width="7.875" style="611" customWidth="1"/>
    <col min="9477" max="9477" width="5.50390625" style="611" customWidth="1"/>
    <col min="9478" max="9478" width="11.625" style="611" customWidth="1"/>
    <col min="9479" max="9479" width="16.50390625" style="611" customWidth="1"/>
    <col min="9480" max="9480" width="3.625" style="611" customWidth="1"/>
    <col min="9481" max="9481" width="12.00390625" style="611" customWidth="1"/>
    <col min="9482" max="9482" width="63.625" style="611" customWidth="1"/>
    <col min="9483" max="9483" width="7.875" style="611" customWidth="1"/>
    <col min="9484" max="9484" width="5.50390625" style="611" customWidth="1"/>
    <col min="9485" max="9485" width="9.875" style="611" customWidth="1"/>
    <col min="9486" max="9486" width="16.50390625" style="611" customWidth="1"/>
    <col min="9487" max="9487" width="14.625" style="611" bestFit="1" customWidth="1"/>
    <col min="9488" max="9728" width="9.125" style="611" customWidth="1"/>
    <col min="9729" max="9729" width="3.625" style="611" customWidth="1"/>
    <col min="9730" max="9730" width="12.00390625" style="611" customWidth="1"/>
    <col min="9731" max="9731" width="48.375" style="611" customWidth="1"/>
    <col min="9732" max="9732" width="7.875" style="611" customWidth="1"/>
    <col min="9733" max="9733" width="5.50390625" style="611" customWidth="1"/>
    <col min="9734" max="9734" width="11.625" style="611" customWidth="1"/>
    <col min="9735" max="9735" width="16.50390625" style="611" customWidth="1"/>
    <col min="9736" max="9736" width="3.625" style="611" customWidth="1"/>
    <col min="9737" max="9737" width="12.00390625" style="611" customWidth="1"/>
    <col min="9738" max="9738" width="63.625" style="611" customWidth="1"/>
    <col min="9739" max="9739" width="7.875" style="611" customWidth="1"/>
    <col min="9740" max="9740" width="5.50390625" style="611" customWidth="1"/>
    <col min="9741" max="9741" width="9.875" style="611" customWidth="1"/>
    <col min="9742" max="9742" width="16.50390625" style="611" customWidth="1"/>
    <col min="9743" max="9743" width="14.625" style="611" bestFit="1" customWidth="1"/>
    <col min="9744" max="9984" width="9.125" style="611" customWidth="1"/>
    <col min="9985" max="9985" width="3.625" style="611" customWidth="1"/>
    <col min="9986" max="9986" width="12.00390625" style="611" customWidth="1"/>
    <col min="9987" max="9987" width="48.375" style="611" customWidth="1"/>
    <col min="9988" max="9988" width="7.875" style="611" customWidth="1"/>
    <col min="9989" max="9989" width="5.50390625" style="611" customWidth="1"/>
    <col min="9990" max="9990" width="11.625" style="611" customWidth="1"/>
    <col min="9991" max="9991" width="16.50390625" style="611" customWidth="1"/>
    <col min="9992" max="9992" width="3.625" style="611" customWidth="1"/>
    <col min="9993" max="9993" width="12.00390625" style="611" customWidth="1"/>
    <col min="9994" max="9994" width="63.625" style="611" customWidth="1"/>
    <col min="9995" max="9995" width="7.875" style="611" customWidth="1"/>
    <col min="9996" max="9996" width="5.50390625" style="611" customWidth="1"/>
    <col min="9997" max="9997" width="9.875" style="611" customWidth="1"/>
    <col min="9998" max="9998" width="16.50390625" style="611" customWidth="1"/>
    <col min="9999" max="9999" width="14.625" style="611" bestFit="1" customWidth="1"/>
    <col min="10000" max="10240" width="9.125" style="611" customWidth="1"/>
    <col min="10241" max="10241" width="3.625" style="611" customWidth="1"/>
    <col min="10242" max="10242" width="12.00390625" style="611" customWidth="1"/>
    <col min="10243" max="10243" width="48.375" style="611" customWidth="1"/>
    <col min="10244" max="10244" width="7.875" style="611" customWidth="1"/>
    <col min="10245" max="10245" width="5.50390625" style="611" customWidth="1"/>
    <col min="10246" max="10246" width="11.625" style="611" customWidth="1"/>
    <col min="10247" max="10247" width="16.50390625" style="611" customWidth="1"/>
    <col min="10248" max="10248" width="3.625" style="611" customWidth="1"/>
    <col min="10249" max="10249" width="12.00390625" style="611" customWidth="1"/>
    <col min="10250" max="10250" width="63.625" style="611" customWidth="1"/>
    <col min="10251" max="10251" width="7.875" style="611" customWidth="1"/>
    <col min="10252" max="10252" width="5.50390625" style="611" customWidth="1"/>
    <col min="10253" max="10253" width="9.875" style="611" customWidth="1"/>
    <col min="10254" max="10254" width="16.50390625" style="611" customWidth="1"/>
    <col min="10255" max="10255" width="14.625" style="611" bestFit="1" customWidth="1"/>
    <col min="10256" max="10496" width="9.125" style="611" customWidth="1"/>
    <col min="10497" max="10497" width="3.625" style="611" customWidth="1"/>
    <col min="10498" max="10498" width="12.00390625" style="611" customWidth="1"/>
    <col min="10499" max="10499" width="48.375" style="611" customWidth="1"/>
    <col min="10500" max="10500" width="7.875" style="611" customWidth="1"/>
    <col min="10501" max="10501" width="5.50390625" style="611" customWidth="1"/>
    <col min="10502" max="10502" width="11.625" style="611" customWidth="1"/>
    <col min="10503" max="10503" width="16.50390625" style="611" customWidth="1"/>
    <col min="10504" max="10504" width="3.625" style="611" customWidth="1"/>
    <col min="10505" max="10505" width="12.00390625" style="611" customWidth="1"/>
    <col min="10506" max="10506" width="63.625" style="611" customWidth="1"/>
    <col min="10507" max="10507" width="7.875" style="611" customWidth="1"/>
    <col min="10508" max="10508" width="5.50390625" style="611" customWidth="1"/>
    <col min="10509" max="10509" width="9.875" style="611" customWidth="1"/>
    <col min="10510" max="10510" width="16.50390625" style="611" customWidth="1"/>
    <col min="10511" max="10511" width="14.625" style="611" bestFit="1" customWidth="1"/>
    <col min="10512" max="10752" width="9.125" style="611" customWidth="1"/>
    <col min="10753" max="10753" width="3.625" style="611" customWidth="1"/>
    <col min="10754" max="10754" width="12.00390625" style="611" customWidth="1"/>
    <col min="10755" max="10755" width="48.375" style="611" customWidth="1"/>
    <col min="10756" max="10756" width="7.875" style="611" customWidth="1"/>
    <col min="10757" max="10757" width="5.50390625" style="611" customWidth="1"/>
    <col min="10758" max="10758" width="11.625" style="611" customWidth="1"/>
    <col min="10759" max="10759" width="16.50390625" style="611" customWidth="1"/>
    <col min="10760" max="10760" width="3.625" style="611" customWidth="1"/>
    <col min="10761" max="10761" width="12.00390625" style="611" customWidth="1"/>
    <col min="10762" max="10762" width="63.625" style="611" customWidth="1"/>
    <col min="10763" max="10763" width="7.875" style="611" customWidth="1"/>
    <col min="10764" max="10764" width="5.50390625" style="611" customWidth="1"/>
    <col min="10765" max="10765" width="9.875" style="611" customWidth="1"/>
    <col min="10766" max="10766" width="16.50390625" style="611" customWidth="1"/>
    <col min="10767" max="10767" width="14.625" style="611" bestFit="1" customWidth="1"/>
    <col min="10768" max="11008" width="9.125" style="611" customWidth="1"/>
    <col min="11009" max="11009" width="3.625" style="611" customWidth="1"/>
    <col min="11010" max="11010" width="12.00390625" style="611" customWidth="1"/>
    <col min="11011" max="11011" width="48.375" style="611" customWidth="1"/>
    <col min="11012" max="11012" width="7.875" style="611" customWidth="1"/>
    <col min="11013" max="11013" width="5.50390625" style="611" customWidth="1"/>
    <col min="11014" max="11014" width="11.625" style="611" customWidth="1"/>
    <col min="11015" max="11015" width="16.50390625" style="611" customWidth="1"/>
    <col min="11016" max="11016" width="3.625" style="611" customWidth="1"/>
    <col min="11017" max="11017" width="12.00390625" style="611" customWidth="1"/>
    <col min="11018" max="11018" width="63.625" style="611" customWidth="1"/>
    <col min="11019" max="11019" width="7.875" style="611" customWidth="1"/>
    <col min="11020" max="11020" width="5.50390625" style="611" customWidth="1"/>
    <col min="11021" max="11021" width="9.875" style="611" customWidth="1"/>
    <col min="11022" max="11022" width="16.50390625" style="611" customWidth="1"/>
    <col min="11023" max="11023" width="14.625" style="611" bestFit="1" customWidth="1"/>
    <col min="11024" max="11264" width="9.125" style="611" customWidth="1"/>
    <col min="11265" max="11265" width="3.625" style="611" customWidth="1"/>
    <col min="11266" max="11266" width="12.00390625" style="611" customWidth="1"/>
    <col min="11267" max="11267" width="48.375" style="611" customWidth="1"/>
    <col min="11268" max="11268" width="7.875" style="611" customWidth="1"/>
    <col min="11269" max="11269" width="5.50390625" style="611" customWidth="1"/>
    <col min="11270" max="11270" width="11.625" style="611" customWidth="1"/>
    <col min="11271" max="11271" width="16.50390625" style="611" customWidth="1"/>
    <col min="11272" max="11272" width="3.625" style="611" customWidth="1"/>
    <col min="11273" max="11273" width="12.00390625" style="611" customWidth="1"/>
    <col min="11274" max="11274" width="63.625" style="611" customWidth="1"/>
    <col min="11275" max="11275" width="7.875" style="611" customWidth="1"/>
    <col min="11276" max="11276" width="5.50390625" style="611" customWidth="1"/>
    <col min="11277" max="11277" width="9.875" style="611" customWidth="1"/>
    <col min="11278" max="11278" width="16.50390625" style="611" customWidth="1"/>
    <col min="11279" max="11279" width="14.625" style="611" bestFit="1" customWidth="1"/>
    <col min="11280" max="11520" width="9.125" style="611" customWidth="1"/>
    <col min="11521" max="11521" width="3.625" style="611" customWidth="1"/>
    <col min="11522" max="11522" width="12.00390625" style="611" customWidth="1"/>
    <col min="11523" max="11523" width="48.375" style="611" customWidth="1"/>
    <col min="11524" max="11524" width="7.875" style="611" customWidth="1"/>
    <col min="11525" max="11525" width="5.50390625" style="611" customWidth="1"/>
    <col min="11526" max="11526" width="11.625" style="611" customWidth="1"/>
    <col min="11527" max="11527" width="16.50390625" style="611" customWidth="1"/>
    <col min="11528" max="11528" width="3.625" style="611" customWidth="1"/>
    <col min="11529" max="11529" width="12.00390625" style="611" customWidth="1"/>
    <col min="11530" max="11530" width="63.625" style="611" customWidth="1"/>
    <col min="11531" max="11531" width="7.875" style="611" customWidth="1"/>
    <col min="11532" max="11532" width="5.50390625" style="611" customWidth="1"/>
    <col min="11533" max="11533" width="9.875" style="611" customWidth="1"/>
    <col min="11534" max="11534" width="16.50390625" style="611" customWidth="1"/>
    <col min="11535" max="11535" width="14.625" style="611" bestFit="1" customWidth="1"/>
    <col min="11536" max="11776" width="9.125" style="611" customWidth="1"/>
    <col min="11777" max="11777" width="3.625" style="611" customWidth="1"/>
    <col min="11778" max="11778" width="12.00390625" style="611" customWidth="1"/>
    <col min="11779" max="11779" width="48.375" style="611" customWidth="1"/>
    <col min="11780" max="11780" width="7.875" style="611" customWidth="1"/>
    <col min="11781" max="11781" width="5.50390625" style="611" customWidth="1"/>
    <col min="11782" max="11782" width="11.625" style="611" customWidth="1"/>
    <col min="11783" max="11783" width="16.50390625" style="611" customWidth="1"/>
    <col min="11784" max="11784" width="3.625" style="611" customWidth="1"/>
    <col min="11785" max="11785" width="12.00390625" style="611" customWidth="1"/>
    <col min="11786" max="11786" width="63.625" style="611" customWidth="1"/>
    <col min="11787" max="11787" width="7.875" style="611" customWidth="1"/>
    <col min="11788" max="11788" width="5.50390625" style="611" customWidth="1"/>
    <col min="11789" max="11789" width="9.875" style="611" customWidth="1"/>
    <col min="11790" max="11790" width="16.50390625" style="611" customWidth="1"/>
    <col min="11791" max="11791" width="14.625" style="611" bestFit="1" customWidth="1"/>
    <col min="11792" max="12032" width="9.125" style="611" customWidth="1"/>
    <col min="12033" max="12033" width="3.625" style="611" customWidth="1"/>
    <col min="12034" max="12034" width="12.00390625" style="611" customWidth="1"/>
    <col min="12035" max="12035" width="48.375" style="611" customWidth="1"/>
    <col min="12036" max="12036" width="7.875" style="611" customWidth="1"/>
    <col min="12037" max="12037" width="5.50390625" style="611" customWidth="1"/>
    <col min="12038" max="12038" width="11.625" style="611" customWidth="1"/>
    <col min="12039" max="12039" width="16.50390625" style="611" customWidth="1"/>
    <col min="12040" max="12040" width="3.625" style="611" customWidth="1"/>
    <col min="12041" max="12041" width="12.00390625" style="611" customWidth="1"/>
    <col min="12042" max="12042" width="63.625" style="611" customWidth="1"/>
    <col min="12043" max="12043" width="7.875" style="611" customWidth="1"/>
    <col min="12044" max="12044" width="5.50390625" style="611" customWidth="1"/>
    <col min="12045" max="12045" width="9.875" style="611" customWidth="1"/>
    <col min="12046" max="12046" width="16.50390625" style="611" customWidth="1"/>
    <col min="12047" max="12047" width="14.625" style="611" bestFit="1" customWidth="1"/>
    <col min="12048" max="12288" width="9.125" style="611" customWidth="1"/>
    <col min="12289" max="12289" width="3.625" style="611" customWidth="1"/>
    <col min="12290" max="12290" width="12.00390625" style="611" customWidth="1"/>
    <col min="12291" max="12291" width="48.375" style="611" customWidth="1"/>
    <col min="12292" max="12292" width="7.875" style="611" customWidth="1"/>
    <col min="12293" max="12293" width="5.50390625" style="611" customWidth="1"/>
    <col min="12294" max="12294" width="11.625" style="611" customWidth="1"/>
    <col min="12295" max="12295" width="16.50390625" style="611" customWidth="1"/>
    <col min="12296" max="12296" width="3.625" style="611" customWidth="1"/>
    <col min="12297" max="12297" width="12.00390625" style="611" customWidth="1"/>
    <col min="12298" max="12298" width="63.625" style="611" customWidth="1"/>
    <col min="12299" max="12299" width="7.875" style="611" customWidth="1"/>
    <col min="12300" max="12300" width="5.50390625" style="611" customWidth="1"/>
    <col min="12301" max="12301" width="9.875" style="611" customWidth="1"/>
    <col min="12302" max="12302" width="16.50390625" style="611" customWidth="1"/>
    <col min="12303" max="12303" width="14.625" style="611" bestFit="1" customWidth="1"/>
    <col min="12304" max="12544" width="9.125" style="611" customWidth="1"/>
    <col min="12545" max="12545" width="3.625" style="611" customWidth="1"/>
    <col min="12546" max="12546" width="12.00390625" style="611" customWidth="1"/>
    <col min="12547" max="12547" width="48.375" style="611" customWidth="1"/>
    <col min="12548" max="12548" width="7.875" style="611" customWidth="1"/>
    <col min="12549" max="12549" width="5.50390625" style="611" customWidth="1"/>
    <col min="12550" max="12550" width="11.625" style="611" customWidth="1"/>
    <col min="12551" max="12551" width="16.50390625" style="611" customWidth="1"/>
    <col min="12552" max="12552" width="3.625" style="611" customWidth="1"/>
    <col min="12553" max="12553" width="12.00390625" style="611" customWidth="1"/>
    <col min="12554" max="12554" width="63.625" style="611" customWidth="1"/>
    <col min="12555" max="12555" width="7.875" style="611" customWidth="1"/>
    <col min="12556" max="12556" width="5.50390625" style="611" customWidth="1"/>
    <col min="12557" max="12557" width="9.875" style="611" customWidth="1"/>
    <col min="12558" max="12558" width="16.50390625" style="611" customWidth="1"/>
    <col min="12559" max="12559" width="14.625" style="611" bestFit="1" customWidth="1"/>
    <col min="12560" max="12800" width="9.125" style="611" customWidth="1"/>
    <col min="12801" max="12801" width="3.625" style="611" customWidth="1"/>
    <col min="12802" max="12802" width="12.00390625" style="611" customWidth="1"/>
    <col min="12803" max="12803" width="48.375" style="611" customWidth="1"/>
    <col min="12804" max="12804" width="7.875" style="611" customWidth="1"/>
    <col min="12805" max="12805" width="5.50390625" style="611" customWidth="1"/>
    <col min="12806" max="12806" width="11.625" style="611" customWidth="1"/>
    <col min="12807" max="12807" width="16.50390625" style="611" customWidth="1"/>
    <col min="12808" max="12808" width="3.625" style="611" customWidth="1"/>
    <col min="12809" max="12809" width="12.00390625" style="611" customWidth="1"/>
    <col min="12810" max="12810" width="63.625" style="611" customWidth="1"/>
    <col min="12811" max="12811" width="7.875" style="611" customWidth="1"/>
    <col min="12812" max="12812" width="5.50390625" style="611" customWidth="1"/>
    <col min="12813" max="12813" width="9.875" style="611" customWidth="1"/>
    <col min="12814" max="12814" width="16.50390625" style="611" customWidth="1"/>
    <col min="12815" max="12815" width="14.625" style="611" bestFit="1" customWidth="1"/>
    <col min="12816" max="13056" width="9.125" style="611" customWidth="1"/>
    <col min="13057" max="13057" width="3.625" style="611" customWidth="1"/>
    <col min="13058" max="13058" width="12.00390625" style="611" customWidth="1"/>
    <col min="13059" max="13059" width="48.375" style="611" customWidth="1"/>
    <col min="13060" max="13060" width="7.875" style="611" customWidth="1"/>
    <col min="13061" max="13061" width="5.50390625" style="611" customWidth="1"/>
    <col min="13062" max="13062" width="11.625" style="611" customWidth="1"/>
    <col min="13063" max="13063" width="16.50390625" style="611" customWidth="1"/>
    <col min="13064" max="13064" width="3.625" style="611" customWidth="1"/>
    <col min="13065" max="13065" width="12.00390625" style="611" customWidth="1"/>
    <col min="13066" max="13066" width="63.625" style="611" customWidth="1"/>
    <col min="13067" max="13067" width="7.875" style="611" customWidth="1"/>
    <col min="13068" max="13068" width="5.50390625" style="611" customWidth="1"/>
    <col min="13069" max="13069" width="9.875" style="611" customWidth="1"/>
    <col min="13070" max="13070" width="16.50390625" style="611" customWidth="1"/>
    <col min="13071" max="13071" width="14.625" style="611" bestFit="1" customWidth="1"/>
    <col min="13072" max="13312" width="9.125" style="611" customWidth="1"/>
    <col min="13313" max="13313" width="3.625" style="611" customWidth="1"/>
    <col min="13314" max="13314" width="12.00390625" style="611" customWidth="1"/>
    <col min="13315" max="13315" width="48.375" style="611" customWidth="1"/>
    <col min="13316" max="13316" width="7.875" style="611" customWidth="1"/>
    <col min="13317" max="13317" width="5.50390625" style="611" customWidth="1"/>
    <col min="13318" max="13318" width="11.625" style="611" customWidth="1"/>
    <col min="13319" max="13319" width="16.50390625" style="611" customWidth="1"/>
    <col min="13320" max="13320" width="3.625" style="611" customWidth="1"/>
    <col min="13321" max="13321" width="12.00390625" style="611" customWidth="1"/>
    <col min="13322" max="13322" width="63.625" style="611" customWidth="1"/>
    <col min="13323" max="13323" width="7.875" style="611" customWidth="1"/>
    <col min="13324" max="13324" width="5.50390625" style="611" customWidth="1"/>
    <col min="13325" max="13325" width="9.875" style="611" customWidth="1"/>
    <col min="13326" max="13326" width="16.50390625" style="611" customWidth="1"/>
    <col min="13327" max="13327" width="14.625" style="611" bestFit="1" customWidth="1"/>
    <col min="13328" max="13568" width="9.125" style="611" customWidth="1"/>
    <col min="13569" max="13569" width="3.625" style="611" customWidth="1"/>
    <col min="13570" max="13570" width="12.00390625" style="611" customWidth="1"/>
    <col min="13571" max="13571" width="48.375" style="611" customWidth="1"/>
    <col min="13572" max="13572" width="7.875" style="611" customWidth="1"/>
    <col min="13573" max="13573" width="5.50390625" style="611" customWidth="1"/>
    <col min="13574" max="13574" width="11.625" style="611" customWidth="1"/>
    <col min="13575" max="13575" width="16.50390625" style="611" customWidth="1"/>
    <col min="13576" max="13576" width="3.625" style="611" customWidth="1"/>
    <col min="13577" max="13577" width="12.00390625" style="611" customWidth="1"/>
    <col min="13578" max="13578" width="63.625" style="611" customWidth="1"/>
    <col min="13579" max="13579" width="7.875" style="611" customWidth="1"/>
    <col min="13580" max="13580" width="5.50390625" style="611" customWidth="1"/>
    <col min="13581" max="13581" width="9.875" style="611" customWidth="1"/>
    <col min="13582" max="13582" width="16.50390625" style="611" customWidth="1"/>
    <col min="13583" max="13583" width="14.625" style="611" bestFit="1" customWidth="1"/>
    <col min="13584" max="13824" width="9.125" style="611" customWidth="1"/>
    <col min="13825" max="13825" width="3.625" style="611" customWidth="1"/>
    <col min="13826" max="13826" width="12.00390625" style="611" customWidth="1"/>
    <col min="13827" max="13827" width="48.375" style="611" customWidth="1"/>
    <col min="13828" max="13828" width="7.875" style="611" customWidth="1"/>
    <col min="13829" max="13829" width="5.50390625" style="611" customWidth="1"/>
    <col min="13830" max="13830" width="11.625" style="611" customWidth="1"/>
    <col min="13831" max="13831" width="16.50390625" style="611" customWidth="1"/>
    <col min="13832" max="13832" width="3.625" style="611" customWidth="1"/>
    <col min="13833" max="13833" width="12.00390625" style="611" customWidth="1"/>
    <col min="13834" max="13834" width="63.625" style="611" customWidth="1"/>
    <col min="13835" max="13835" width="7.875" style="611" customWidth="1"/>
    <col min="13836" max="13836" width="5.50390625" style="611" customWidth="1"/>
    <col min="13837" max="13837" width="9.875" style="611" customWidth="1"/>
    <col min="13838" max="13838" width="16.50390625" style="611" customWidth="1"/>
    <col min="13839" max="13839" width="14.625" style="611" bestFit="1" customWidth="1"/>
    <col min="13840" max="14080" width="9.125" style="611" customWidth="1"/>
    <col min="14081" max="14081" width="3.625" style="611" customWidth="1"/>
    <col min="14082" max="14082" width="12.00390625" style="611" customWidth="1"/>
    <col min="14083" max="14083" width="48.375" style="611" customWidth="1"/>
    <col min="14084" max="14084" width="7.875" style="611" customWidth="1"/>
    <col min="14085" max="14085" width="5.50390625" style="611" customWidth="1"/>
    <col min="14086" max="14086" width="11.625" style="611" customWidth="1"/>
    <col min="14087" max="14087" width="16.50390625" style="611" customWidth="1"/>
    <col min="14088" max="14088" width="3.625" style="611" customWidth="1"/>
    <col min="14089" max="14089" width="12.00390625" style="611" customWidth="1"/>
    <col min="14090" max="14090" width="63.625" style="611" customWidth="1"/>
    <col min="14091" max="14091" width="7.875" style="611" customWidth="1"/>
    <col min="14092" max="14092" width="5.50390625" style="611" customWidth="1"/>
    <col min="14093" max="14093" width="9.875" style="611" customWidth="1"/>
    <col min="14094" max="14094" width="16.50390625" style="611" customWidth="1"/>
    <col min="14095" max="14095" width="14.625" style="611" bestFit="1" customWidth="1"/>
    <col min="14096" max="14336" width="9.125" style="611" customWidth="1"/>
    <col min="14337" max="14337" width="3.625" style="611" customWidth="1"/>
    <col min="14338" max="14338" width="12.00390625" style="611" customWidth="1"/>
    <col min="14339" max="14339" width="48.375" style="611" customWidth="1"/>
    <col min="14340" max="14340" width="7.875" style="611" customWidth="1"/>
    <col min="14341" max="14341" width="5.50390625" style="611" customWidth="1"/>
    <col min="14342" max="14342" width="11.625" style="611" customWidth="1"/>
    <col min="14343" max="14343" width="16.50390625" style="611" customWidth="1"/>
    <col min="14344" max="14344" width="3.625" style="611" customWidth="1"/>
    <col min="14345" max="14345" width="12.00390625" style="611" customWidth="1"/>
    <col min="14346" max="14346" width="63.625" style="611" customWidth="1"/>
    <col min="14347" max="14347" width="7.875" style="611" customWidth="1"/>
    <col min="14348" max="14348" width="5.50390625" style="611" customWidth="1"/>
    <col min="14349" max="14349" width="9.875" style="611" customWidth="1"/>
    <col min="14350" max="14350" width="16.50390625" style="611" customWidth="1"/>
    <col min="14351" max="14351" width="14.625" style="611" bestFit="1" customWidth="1"/>
    <col min="14352" max="14592" width="9.125" style="611" customWidth="1"/>
    <col min="14593" max="14593" width="3.625" style="611" customWidth="1"/>
    <col min="14594" max="14594" width="12.00390625" style="611" customWidth="1"/>
    <col min="14595" max="14595" width="48.375" style="611" customWidth="1"/>
    <col min="14596" max="14596" width="7.875" style="611" customWidth="1"/>
    <col min="14597" max="14597" width="5.50390625" style="611" customWidth="1"/>
    <col min="14598" max="14598" width="11.625" style="611" customWidth="1"/>
    <col min="14599" max="14599" width="16.50390625" style="611" customWidth="1"/>
    <col min="14600" max="14600" width="3.625" style="611" customWidth="1"/>
    <col min="14601" max="14601" width="12.00390625" style="611" customWidth="1"/>
    <col min="14602" max="14602" width="63.625" style="611" customWidth="1"/>
    <col min="14603" max="14603" width="7.875" style="611" customWidth="1"/>
    <col min="14604" max="14604" width="5.50390625" style="611" customWidth="1"/>
    <col min="14605" max="14605" width="9.875" style="611" customWidth="1"/>
    <col min="14606" max="14606" width="16.50390625" style="611" customWidth="1"/>
    <col min="14607" max="14607" width="14.625" style="611" bestFit="1" customWidth="1"/>
    <col min="14608" max="14848" width="9.125" style="611" customWidth="1"/>
    <col min="14849" max="14849" width="3.625" style="611" customWidth="1"/>
    <col min="14850" max="14850" width="12.00390625" style="611" customWidth="1"/>
    <col min="14851" max="14851" width="48.375" style="611" customWidth="1"/>
    <col min="14852" max="14852" width="7.875" style="611" customWidth="1"/>
    <col min="14853" max="14853" width="5.50390625" style="611" customWidth="1"/>
    <col min="14854" max="14854" width="11.625" style="611" customWidth="1"/>
    <col min="14855" max="14855" width="16.50390625" style="611" customWidth="1"/>
    <col min="14856" max="14856" width="3.625" style="611" customWidth="1"/>
    <col min="14857" max="14857" width="12.00390625" style="611" customWidth="1"/>
    <col min="14858" max="14858" width="63.625" style="611" customWidth="1"/>
    <col min="14859" max="14859" width="7.875" style="611" customWidth="1"/>
    <col min="14860" max="14860" width="5.50390625" style="611" customWidth="1"/>
    <col min="14861" max="14861" width="9.875" style="611" customWidth="1"/>
    <col min="14862" max="14862" width="16.50390625" style="611" customWidth="1"/>
    <col min="14863" max="14863" width="14.625" style="611" bestFit="1" customWidth="1"/>
    <col min="14864" max="15104" width="9.125" style="611" customWidth="1"/>
    <col min="15105" max="15105" width="3.625" style="611" customWidth="1"/>
    <col min="15106" max="15106" width="12.00390625" style="611" customWidth="1"/>
    <col min="15107" max="15107" width="48.375" style="611" customWidth="1"/>
    <col min="15108" max="15108" width="7.875" style="611" customWidth="1"/>
    <col min="15109" max="15109" width="5.50390625" style="611" customWidth="1"/>
    <col min="15110" max="15110" width="11.625" style="611" customWidth="1"/>
    <col min="15111" max="15111" width="16.50390625" style="611" customWidth="1"/>
    <col min="15112" max="15112" width="3.625" style="611" customWidth="1"/>
    <col min="15113" max="15113" width="12.00390625" style="611" customWidth="1"/>
    <col min="15114" max="15114" width="63.625" style="611" customWidth="1"/>
    <col min="15115" max="15115" width="7.875" style="611" customWidth="1"/>
    <col min="15116" max="15116" width="5.50390625" style="611" customWidth="1"/>
    <col min="15117" max="15117" width="9.875" style="611" customWidth="1"/>
    <col min="15118" max="15118" width="16.50390625" style="611" customWidth="1"/>
    <col min="15119" max="15119" width="14.625" style="611" bestFit="1" customWidth="1"/>
    <col min="15120" max="15360" width="9.125" style="611" customWidth="1"/>
    <col min="15361" max="15361" width="3.625" style="611" customWidth="1"/>
    <col min="15362" max="15362" width="12.00390625" style="611" customWidth="1"/>
    <col min="15363" max="15363" width="48.375" style="611" customWidth="1"/>
    <col min="15364" max="15364" width="7.875" style="611" customWidth="1"/>
    <col min="15365" max="15365" width="5.50390625" style="611" customWidth="1"/>
    <col min="15366" max="15366" width="11.625" style="611" customWidth="1"/>
    <col min="15367" max="15367" width="16.50390625" style="611" customWidth="1"/>
    <col min="15368" max="15368" width="3.625" style="611" customWidth="1"/>
    <col min="15369" max="15369" width="12.00390625" style="611" customWidth="1"/>
    <col min="15370" max="15370" width="63.625" style="611" customWidth="1"/>
    <col min="15371" max="15371" width="7.875" style="611" customWidth="1"/>
    <col min="15372" max="15372" width="5.50390625" style="611" customWidth="1"/>
    <col min="15373" max="15373" width="9.875" style="611" customWidth="1"/>
    <col min="15374" max="15374" width="16.50390625" style="611" customWidth="1"/>
    <col min="15375" max="15375" width="14.625" style="611" bestFit="1" customWidth="1"/>
    <col min="15376" max="15616" width="9.125" style="611" customWidth="1"/>
    <col min="15617" max="15617" width="3.625" style="611" customWidth="1"/>
    <col min="15618" max="15618" width="12.00390625" style="611" customWidth="1"/>
    <col min="15619" max="15619" width="48.375" style="611" customWidth="1"/>
    <col min="15620" max="15620" width="7.875" style="611" customWidth="1"/>
    <col min="15621" max="15621" width="5.50390625" style="611" customWidth="1"/>
    <col min="15622" max="15622" width="11.625" style="611" customWidth="1"/>
    <col min="15623" max="15623" width="16.50390625" style="611" customWidth="1"/>
    <col min="15624" max="15624" width="3.625" style="611" customWidth="1"/>
    <col min="15625" max="15625" width="12.00390625" style="611" customWidth="1"/>
    <col min="15626" max="15626" width="63.625" style="611" customWidth="1"/>
    <col min="15627" max="15627" width="7.875" style="611" customWidth="1"/>
    <col min="15628" max="15628" width="5.50390625" style="611" customWidth="1"/>
    <col min="15629" max="15629" width="9.875" style="611" customWidth="1"/>
    <col min="15630" max="15630" width="16.50390625" style="611" customWidth="1"/>
    <col min="15631" max="15631" width="14.625" style="611" bestFit="1" customWidth="1"/>
    <col min="15632" max="15872" width="9.125" style="611" customWidth="1"/>
    <col min="15873" max="15873" width="3.625" style="611" customWidth="1"/>
    <col min="15874" max="15874" width="12.00390625" style="611" customWidth="1"/>
    <col min="15875" max="15875" width="48.375" style="611" customWidth="1"/>
    <col min="15876" max="15876" width="7.875" style="611" customWidth="1"/>
    <col min="15877" max="15877" width="5.50390625" style="611" customWidth="1"/>
    <col min="15878" max="15878" width="11.625" style="611" customWidth="1"/>
    <col min="15879" max="15879" width="16.50390625" style="611" customWidth="1"/>
    <col min="15880" max="15880" width="3.625" style="611" customWidth="1"/>
    <col min="15881" max="15881" width="12.00390625" style="611" customWidth="1"/>
    <col min="15882" max="15882" width="63.625" style="611" customWidth="1"/>
    <col min="15883" max="15883" width="7.875" style="611" customWidth="1"/>
    <col min="15884" max="15884" width="5.50390625" style="611" customWidth="1"/>
    <col min="15885" max="15885" width="9.875" style="611" customWidth="1"/>
    <col min="15886" max="15886" width="16.50390625" style="611" customWidth="1"/>
    <col min="15887" max="15887" width="14.625" style="611" bestFit="1" customWidth="1"/>
    <col min="15888" max="16128" width="9.125" style="611" customWidth="1"/>
    <col min="16129" max="16129" width="3.625" style="611" customWidth="1"/>
    <col min="16130" max="16130" width="12.00390625" style="611" customWidth="1"/>
    <col min="16131" max="16131" width="48.375" style="611" customWidth="1"/>
    <col min="16132" max="16132" width="7.875" style="611" customWidth="1"/>
    <col min="16133" max="16133" width="5.50390625" style="611" customWidth="1"/>
    <col min="16134" max="16134" width="11.625" style="611" customWidth="1"/>
    <col min="16135" max="16135" width="16.50390625" style="611" customWidth="1"/>
    <col min="16136" max="16136" width="3.625" style="611" customWidth="1"/>
    <col min="16137" max="16137" width="12.00390625" style="611" customWidth="1"/>
    <col min="16138" max="16138" width="63.625" style="611" customWidth="1"/>
    <col min="16139" max="16139" width="7.875" style="611" customWidth="1"/>
    <col min="16140" max="16140" width="5.50390625" style="611" customWidth="1"/>
    <col min="16141" max="16141" width="9.875" style="611" customWidth="1"/>
    <col min="16142" max="16142" width="16.50390625" style="611" customWidth="1"/>
    <col min="16143" max="16143" width="14.625" style="611" bestFit="1" customWidth="1"/>
    <col min="16144" max="16384" width="9.125" style="611" customWidth="1"/>
  </cols>
  <sheetData>
    <row r="1" spans="1:7" ht="12.75">
      <c r="A1" s="1629" t="s">
        <v>1954</v>
      </c>
      <c r="B1" s="1630"/>
      <c r="C1" s="1631"/>
      <c r="D1" s="582"/>
      <c r="E1" s="583"/>
      <c r="F1" s="584"/>
      <c r="G1" s="585"/>
    </row>
    <row r="2" spans="1:7" ht="12.75">
      <c r="A2" s="1629" t="s">
        <v>1955</v>
      </c>
      <c r="B2" s="1630"/>
      <c r="C2" s="1630"/>
      <c r="D2" s="582"/>
      <c r="E2" s="583"/>
      <c r="F2" s="584"/>
      <c r="G2" s="586"/>
    </row>
    <row r="3" spans="1:7" ht="12.75">
      <c r="A3" s="587"/>
      <c r="B3" s="588"/>
      <c r="C3" s="588"/>
      <c r="D3" s="582"/>
      <c r="E3" s="583"/>
      <c r="F3" s="584"/>
      <c r="G3" s="586"/>
    </row>
    <row r="4" spans="1:7" ht="15.6">
      <c r="A4" s="587"/>
      <c r="B4" s="589"/>
      <c r="C4" s="590" t="s">
        <v>1037</v>
      </c>
      <c r="D4" s="582"/>
      <c r="E4" s="583"/>
      <c r="F4" s="584"/>
      <c r="G4" s="586"/>
    </row>
    <row r="5" spans="1:7" ht="12.75">
      <c r="A5" s="591"/>
      <c r="B5" s="591"/>
      <c r="C5" s="592"/>
      <c r="D5" s="593"/>
      <c r="E5" s="594"/>
      <c r="F5" s="593"/>
      <c r="G5" s="591"/>
    </row>
    <row r="6" spans="1:7" ht="15.6">
      <c r="A6" s="595"/>
      <c r="B6" s="595"/>
      <c r="C6" s="590"/>
      <c r="D6" s="593"/>
      <c r="E6" s="594"/>
      <c r="F6" s="596"/>
      <c r="G6" s="597"/>
    </row>
    <row r="7" spans="1:7" ht="12.75">
      <c r="A7" s="591"/>
      <c r="B7" s="604"/>
      <c r="C7" s="606"/>
      <c r="D7" s="582"/>
      <c r="E7" s="583"/>
      <c r="F7" s="584"/>
      <c r="G7" s="585"/>
    </row>
    <row r="8" spans="1:7" ht="39.6">
      <c r="A8" s="595"/>
      <c r="B8" s="1120"/>
      <c r="C8" s="598" t="s">
        <v>1956</v>
      </c>
      <c r="D8" s="591"/>
      <c r="E8" s="594"/>
      <c r="F8" s="591"/>
      <c r="G8" s="597"/>
    </row>
    <row r="9" spans="1:7" ht="15.6">
      <c r="A9" s="604"/>
      <c r="B9" s="605"/>
      <c r="C9" s="259"/>
      <c r="D9" s="604"/>
      <c r="E9" s="583"/>
      <c r="F9" s="604"/>
      <c r="G9" s="585"/>
    </row>
    <row r="10" spans="1:7" ht="12.75">
      <c r="A10" s="599"/>
      <c r="B10" s="600"/>
      <c r="C10" s="599" t="s">
        <v>1039</v>
      </c>
      <c r="D10" s="599" t="s">
        <v>1040</v>
      </c>
      <c r="E10" s="601" t="s">
        <v>1041</v>
      </c>
      <c r="F10" s="602" t="s">
        <v>1042</v>
      </c>
      <c r="G10" s="603" t="s">
        <v>1043</v>
      </c>
    </row>
    <row r="11" spans="1:7" ht="12.75">
      <c r="A11" s="604"/>
      <c r="B11" s="605"/>
      <c r="C11" s="604"/>
      <c r="D11" s="604"/>
      <c r="E11" s="583"/>
      <c r="F11" s="582"/>
      <c r="G11" s="584"/>
    </row>
    <row r="12" spans="1:7" ht="12.75">
      <c r="A12" s="591">
        <v>1</v>
      </c>
      <c r="B12" s="591">
        <v>2200200010</v>
      </c>
      <c r="C12" s="591" t="s">
        <v>1957</v>
      </c>
      <c r="D12" s="591">
        <v>90</v>
      </c>
      <c r="E12" s="594" t="s">
        <v>231</v>
      </c>
      <c r="F12" s="596"/>
      <c r="G12" s="597">
        <f>D12*F12</f>
        <v>0</v>
      </c>
    </row>
    <row r="13" spans="1:7" ht="12.75">
      <c r="A13" s="591">
        <v>2</v>
      </c>
      <c r="B13" s="591">
        <v>2200200020</v>
      </c>
      <c r="C13" s="591" t="s">
        <v>1958</v>
      </c>
      <c r="D13" s="591">
        <v>45</v>
      </c>
      <c r="E13" s="594" t="s">
        <v>145</v>
      </c>
      <c r="F13" s="596"/>
      <c r="G13" s="597">
        <f aca="true" t="shared" si="0" ref="G13:G61">D13*F13</f>
        <v>0</v>
      </c>
    </row>
    <row r="14" spans="1:7" ht="12.75">
      <c r="A14" s="591">
        <v>3</v>
      </c>
      <c r="B14" s="591">
        <v>2200200030</v>
      </c>
      <c r="C14" s="591" t="s">
        <v>1959</v>
      </c>
      <c r="D14" s="591">
        <v>1</v>
      </c>
      <c r="E14" s="594" t="s">
        <v>154</v>
      </c>
      <c r="F14" s="596"/>
      <c r="G14" s="597">
        <f t="shared" si="0"/>
        <v>0</v>
      </c>
    </row>
    <row r="15" spans="1:7" ht="12.75">
      <c r="A15" s="591">
        <v>4</v>
      </c>
      <c r="B15" s="591">
        <v>2200200040</v>
      </c>
      <c r="C15" s="591" t="s">
        <v>1960</v>
      </c>
      <c r="D15" s="591">
        <v>2</v>
      </c>
      <c r="E15" s="594" t="s">
        <v>154</v>
      </c>
      <c r="F15" s="596"/>
      <c r="G15" s="597">
        <f t="shared" si="0"/>
        <v>0</v>
      </c>
    </row>
    <row r="16" spans="1:7" ht="12.75">
      <c r="A16" s="591">
        <v>5</v>
      </c>
      <c r="B16" s="591">
        <v>2200200050</v>
      </c>
      <c r="C16" s="591" t="s">
        <v>1961</v>
      </c>
      <c r="D16" s="591">
        <v>1</v>
      </c>
      <c r="E16" s="594" t="s">
        <v>154</v>
      </c>
      <c r="F16" s="596"/>
      <c r="G16" s="597">
        <f t="shared" si="0"/>
        <v>0</v>
      </c>
    </row>
    <row r="17" spans="1:7" ht="12.75">
      <c r="A17" s="591">
        <v>6</v>
      </c>
      <c r="B17" s="591">
        <v>2200200060</v>
      </c>
      <c r="C17" s="591" t="s">
        <v>1962</v>
      </c>
      <c r="D17" s="591">
        <v>1</v>
      </c>
      <c r="E17" s="594" t="s">
        <v>1615</v>
      </c>
      <c r="F17" s="596"/>
      <c r="G17" s="597">
        <f t="shared" si="0"/>
        <v>0</v>
      </c>
    </row>
    <row r="18" spans="1:7" ht="12.75">
      <c r="A18" s="591">
        <v>7</v>
      </c>
      <c r="B18" s="591">
        <v>2200200070</v>
      </c>
      <c r="C18" s="591" t="s">
        <v>1963</v>
      </c>
      <c r="D18" s="591">
        <v>1</v>
      </c>
      <c r="E18" s="594" t="s">
        <v>1615</v>
      </c>
      <c r="F18" s="596"/>
      <c r="G18" s="597">
        <f t="shared" si="0"/>
        <v>0</v>
      </c>
    </row>
    <row r="19" spans="1:7" ht="12.75">
      <c r="A19" s="591">
        <v>8</v>
      </c>
      <c r="B19" s="591">
        <v>2200200080</v>
      </c>
      <c r="C19" s="591" t="s">
        <v>1964</v>
      </c>
      <c r="D19" s="591">
        <v>1</v>
      </c>
      <c r="E19" s="594" t="s">
        <v>1615</v>
      </c>
      <c r="F19" s="596"/>
      <c r="G19" s="597">
        <f t="shared" si="0"/>
        <v>0</v>
      </c>
    </row>
    <row r="20" spans="1:7" ht="12.75">
      <c r="A20" s="591">
        <v>9</v>
      </c>
      <c r="B20" s="591">
        <v>2200200090</v>
      </c>
      <c r="C20" s="591" t="s">
        <v>1965</v>
      </c>
      <c r="D20" s="591">
        <v>90</v>
      </c>
      <c r="E20" s="594" t="s">
        <v>231</v>
      </c>
      <c r="F20" s="596"/>
      <c r="G20" s="597">
        <f t="shared" si="0"/>
        <v>0</v>
      </c>
    </row>
    <row r="21" spans="1:7" ht="12.75">
      <c r="A21" s="591">
        <v>10</v>
      </c>
      <c r="B21" s="591">
        <v>2200200100</v>
      </c>
      <c r="C21" s="591" t="s">
        <v>1966</v>
      </c>
      <c r="D21" s="591">
        <v>90</v>
      </c>
      <c r="E21" s="594" t="s">
        <v>231</v>
      </c>
      <c r="F21" s="596"/>
      <c r="G21" s="597">
        <f t="shared" si="0"/>
        <v>0</v>
      </c>
    </row>
    <row r="22" spans="1:7" ht="12.75">
      <c r="A22" s="591">
        <v>11</v>
      </c>
      <c r="B22" s="591">
        <v>2200200110</v>
      </c>
      <c r="C22" s="591" t="s">
        <v>1967</v>
      </c>
      <c r="D22" s="591">
        <v>90</v>
      </c>
      <c r="E22" s="594" t="s">
        <v>231</v>
      </c>
      <c r="F22" s="596"/>
      <c r="G22" s="597">
        <f t="shared" si="0"/>
        <v>0</v>
      </c>
    </row>
    <row r="23" spans="1:7" ht="12.75">
      <c r="A23" s="591">
        <v>12</v>
      </c>
      <c r="B23" s="591">
        <v>2200200120</v>
      </c>
      <c r="C23" s="591" t="s">
        <v>1968</v>
      </c>
      <c r="D23" s="591">
        <v>4</v>
      </c>
      <c r="E23" s="594" t="s">
        <v>154</v>
      </c>
      <c r="F23" s="596"/>
      <c r="G23" s="597">
        <f t="shared" si="0"/>
        <v>0</v>
      </c>
    </row>
    <row r="24" spans="1:7" ht="12.75">
      <c r="A24" s="591">
        <v>13</v>
      </c>
      <c r="B24" s="591">
        <v>2200200130</v>
      </c>
      <c r="C24" s="591" t="s">
        <v>1969</v>
      </c>
      <c r="D24" s="591">
        <v>2</v>
      </c>
      <c r="E24" s="594" t="s">
        <v>757</v>
      </c>
      <c r="F24" s="596"/>
      <c r="G24" s="597">
        <f t="shared" si="0"/>
        <v>0</v>
      </c>
    </row>
    <row r="25" spans="1:7" ht="12.75">
      <c r="A25" s="591">
        <v>14</v>
      </c>
      <c r="B25" s="591">
        <v>2200200140</v>
      </c>
      <c r="C25" s="591" t="s">
        <v>1970</v>
      </c>
      <c r="D25" s="591">
        <v>2</v>
      </c>
      <c r="E25" s="594" t="s">
        <v>757</v>
      </c>
      <c r="F25" s="596"/>
      <c r="G25" s="597">
        <f t="shared" si="0"/>
        <v>0</v>
      </c>
    </row>
    <row r="26" spans="1:7" ht="12.75">
      <c r="A26" s="591">
        <v>15</v>
      </c>
      <c r="B26" s="591">
        <v>2200200150</v>
      </c>
      <c r="C26" s="591" t="s">
        <v>1971</v>
      </c>
      <c r="D26" s="591">
        <v>90</v>
      </c>
      <c r="E26" s="594" t="s">
        <v>231</v>
      </c>
      <c r="F26" s="596"/>
      <c r="G26" s="597">
        <f t="shared" si="0"/>
        <v>0</v>
      </c>
    </row>
    <row r="27" spans="1:7" ht="12.75">
      <c r="A27" s="591">
        <v>16</v>
      </c>
      <c r="B27" s="591">
        <v>2200200160</v>
      </c>
      <c r="C27" s="591" t="s">
        <v>1972</v>
      </c>
      <c r="D27" s="591">
        <v>90</v>
      </c>
      <c r="E27" s="594" t="s">
        <v>154</v>
      </c>
      <c r="F27" s="596"/>
      <c r="G27" s="597">
        <f t="shared" si="0"/>
        <v>0</v>
      </c>
    </row>
    <row r="28" spans="1:7" ht="12.75">
      <c r="A28" s="591">
        <v>17</v>
      </c>
      <c r="B28" s="591">
        <v>2200200170</v>
      </c>
      <c r="C28" s="591" t="s">
        <v>1973</v>
      </c>
      <c r="D28" s="591">
        <v>90</v>
      </c>
      <c r="E28" s="594" t="s">
        <v>145</v>
      </c>
      <c r="F28" s="596"/>
      <c r="G28" s="597">
        <f t="shared" si="0"/>
        <v>0</v>
      </c>
    </row>
    <row r="29" spans="1:7" ht="23.4">
      <c r="A29" s="591">
        <v>18</v>
      </c>
      <c r="B29" s="591">
        <v>2200200180</v>
      </c>
      <c r="C29" s="592" t="s">
        <v>1974</v>
      </c>
      <c r="D29" s="591">
        <v>180</v>
      </c>
      <c r="E29" s="594" t="s">
        <v>231</v>
      </c>
      <c r="F29" s="596"/>
      <c r="G29" s="597">
        <f t="shared" si="0"/>
        <v>0</v>
      </c>
    </row>
    <row r="30" spans="1:7" ht="12.75">
      <c r="A30" s="591">
        <v>19</v>
      </c>
      <c r="B30" s="591">
        <v>2200200190</v>
      </c>
      <c r="C30" s="591" t="s">
        <v>1975</v>
      </c>
      <c r="D30" s="591">
        <v>4</v>
      </c>
      <c r="E30" s="594" t="s">
        <v>757</v>
      </c>
      <c r="F30" s="596"/>
      <c r="G30" s="597">
        <f t="shared" si="0"/>
        <v>0</v>
      </c>
    </row>
    <row r="31" spans="1:7" ht="12.75">
      <c r="A31" s="591">
        <v>20</v>
      </c>
      <c r="B31" s="591">
        <v>2200200200</v>
      </c>
      <c r="C31" s="591" t="s">
        <v>1976</v>
      </c>
      <c r="D31" s="591">
        <v>180</v>
      </c>
      <c r="E31" s="594" t="s">
        <v>231</v>
      </c>
      <c r="F31" s="596"/>
      <c r="G31" s="597">
        <f t="shared" si="0"/>
        <v>0</v>
      </c>
    </row>
    <row r="32" spans="1:7" ht="12.75">
      <c r="A32" s="591">
        <v>21</v>
      </c>
      <c r="B32" s="591">
        <v>2200200210</v>
      </c>
      <c r="C32" s="591" t="s">
        <v>1977</v>
      </c>
      <c r="D32" s="591">
        <v>2</v>
      </c>
      <c r="E32" s="594" t="s">
        <v>757</v>
      </c>
      <c r="F32" s="596"/>
      <c r="G32" s="597">
        <f t="shared" si="0"/>
        <v>0</v>
      </c>
    </row>
    <row r="33" spans="1:7" ht="12.75">
      <c r="A33" s="591">
        <v>22</v>
      </c>
      <c r="B33" s="591">
        <v>2200200220</v>
      </c>
      <c r="C33" s="591" t="s">
        <v>1978</v>
      </c>
      <c r="D33" s="591">
        <v>4</v>
      </c>
      <c r="E33" s="594" t="s">
        <v>757</v>
      </c>
      <c r="F33" s="596"/>
      <c r="G33" s="597">
        <f t="shared" si="0"/>
        <v>0</v>
      </c>
    </row>
    <row r="34" spans="1:7" ht="12.75">
      <c r="A34" s="591">
        <v>23</v>
      </c>
      <c r="B34" s="591">
        <v>2200200230</v>
      </c>
      <c r="C34" s="591" t="s">
        <v>1979</v>
      </c>
      <c r="D34" s="591">
        <v>90</v>
      </c>
      <c r="E34" s="594" t="s">
        <v>231</v>
      </c>
      <c r="F34" s="596"/>
      <c r="G34" s="597">
        <f t="shared" si="0"/>
        <v>0</v>
      </c>
    </row>
    <row r="35" spans="1:7" ht="12.75">
      <c r="A35" s="591">
        <v>24</v>
      </c>
      <c r="B35" s="591">
        <v>2200200240</v>
      </c>
      <c r="C35" s="591" t="s">
        <v>1980</v>
      </c>
      <c r="D35" s="591">
        <v>40</v>
      </c>
      <c r="E35" s="594" t="s">
        <v>145</v>
      </c>
      <c r="F35" s="596"/>
      <c r="G35" s="597">
        <f t="shared" si="0"/>
        <v>0</v>
      </c>
    </row>
    <row r="36" spans="1:7" ht="12.75">
      <c r="A36" s="591">
        <v>25</v>
      </c>
      <c r="B36" s="591">
        <v>2200200250</v>
      </c>
      <c r="C36" s="591" t="s">
        <v>1981</v>
      </c>
      <c r="D36" s="591">
        <v>20</v>
      </c>
      <c r="E36" s="594" t="s">
        <v>145</v>
      </c>
      <c r="F36" s="596"/>
      <c r="G36" s="597">
        <f t="shared" si="0"/>
        <v>0</v>
      </c>
    </row>
    <row r="37" spans="1:7" ht="12.75">
      <c r="A37" s="591">
        <v>26</v>
      </c>
      <c r="B37" s="591">
        <v>2200200260</v>
      </c>
      <c r="C37" s="591" t="s">
        <v>1982</v>
      </c>
      <c r="D37" s="591">
        <v>1</v>
      </c>
      <c r="E37" s="594" t="s">
        <v>757</v>
      </c>
      <c r="F37" s="596"/>
      <c r="G37" s="597">
        <f t="shared" si="0"/>
        <v>0</v>
      </c>
    </row>
    <row r="38" spans="1:7" ht="12.75">
      <c r="A38" s="591">
        <v>27</v>
      </c>
      <c r="B38" s="591">
        <v>2200200270</v>
      </c>
      <c r="C38" s="591" t="s">
        <v>1983</v>
      </c>
      <c r="D38" s="591">
        <v>90</v>
      </c>
      <c r="E38" s="594" t="s">
        <v>231</v>
      </c>
      <c r="F38" s="596"/>
      <c r="G38" s="597">
        <f t="shared" si="0"/>
        <v>0</v>
      </c>
    </row>
    <row r="39" spans="1:7" ht="12.75">
      <c r="A39" s="591">
        <v>28</v>
      </c>
      <c r="B39" s="591">
        <v>2200200280</v>
      </c>
      <c r="C39" s="591" t="s">
        <v>1984</v>
      </c>
      <c r="D39" s="591">
        <v>90</v>
      </c>
      <c r="E39" s="594" t="s">
        <v>231</v>
      </c>
      <c r="F39" s="596"/>
      <c r="G39" s="597">
        <f t="shared" si="0"/>
        <v>0</v>
      </c>
    </row>
    <row r="40" spans="1:7" ht="12.75">
      <c r="A40" s="591">
        <v>29</v>
      </c>
      <c r="B40" s="591">
        <v>2200200290</v>
      </c>
      <c r="C40" s="591" t="s">
        <v>1985</v>
      </c>
      <c r="D40" s="591">
        <v>60</v>
      </c>
      <c r="E40" s="591" t="s">
        <v>231</v>
      </c>
      <c r="F40" s="596"/>
      <c r="G40" s="597">
        <f t="shared" si="0"/>
        <v>0</v>
      </c>
    </row>
    <row r="41" spans="1:7" ht="12.75">
      <c r="A41" s="591">
        <v>30</v>
      </c>
      <c r="B41" s="591">
        <v>2200200300</v>
      </c>
      <c r="C41" s="591" t="s">
        <v>1986</v>
      </c>
      <c r="D41" s="591">
        <v>60</v>
      </c>
      <c r="E41" s="591" t="s">
        <v>231</v>
      </c>
      <c r="F41" s="596"/>
      <c r="G41" s="597">
        <f t="shared" si="0"/>
        <v>0</v>
      </c>
    </row>
    <row r="42" spans="1:7" ht="12.75">
      <c r="A42" s="591">
        <v>31</v>
      </c>
      <c r="B42" s="591">
        <v>2200200310</v>
      </c>
      <c r="C42" s="591" t="s">
        <v>1987</v>
      </c>
      <c r="D42" s="591">
        <v>50</v>
      </c>
      <c r="E42" s="594" t="s">
        <v>1988</v>
      </c>
      <c r="F42" s="596"/>
      <c r="G42" s="597">
        <f t="shared" si="0"/>
        <v>0</v>
      </c>
    </row>
    <row r="43" spans="1:7" ht="12.75">
      <c r="A43" s="591">
        <v>32</v>
      </c>
      <c r="B43" s="591">
        <v>2200200320</v>
      </c>
      <c r="C43" s="1121" t="s">
        <v>1989</v>
      </c>
      <c r="D43" s="582">
        <v>180</v>
      </c>
      <c r="E43" s="583" t="s">
        <v>231</v>
      </c>
      <c r="F43" s="596"/>
      <c r="G43" s="597">
        <f t="shared" si="0"/>
        <v>0</v>
      </c>
    </row>
    <row r="44" spans="1:7" ht="12.75">
      <c r="A44" s="591">
        <v>33</v>
      </c>
      <c r="B44" s="591">
        <v>2200200330</v>
      </c>
      <c r="C44" s="1121" t="s">
        <v>1990</v>
      </c>
      <c r="D44" s="582">
        <v>10</v>
      </c>
      <c r="E44" s="583" t="s">
        <v>757</v>
      </c>
      <c r="F44" s="596"/>
      <c r="G44" s="597">
        <f t="shared" si="0"/>
        <v>0</v>
      </c>
    </row>
    <row r="45" spans="1:7" ht="12.75">
      <c r="A45" s="591">
        <v>34</v>
      </c>
      <c r="B45" s="591">
        <v>2200200340</v>
      </c>
      <c r="C45" s="1121" t="s">
        <v>1991</v>
      </c>
      <c r="D45" s="582">
        <v>1600</v>
      </c>
      <c r="E45" s="583" t="s">
        <v>231</v>
      </c>
      <c r="F45" s="596"/>
      <c r="G45" s="597">
        <f t="shared" si="0"/>
        <v>0</v>
      </c>
    </row>
    <row r="46" spans="1:7" ht="12.75">
      <c r="A46" s="591">
        <v>35</v>
      </c>
      <c r="B46" s="591">
        <v>2200200350</v>
      </c>
      <c r="C46" s="1121" t="s">
        <v>1992</v>
      </c>
      <c r="D46" s="582">
        <v>32</v>
      </c>
      <c r="E46" s="583" t="s">
        <v>757</v>
      </c>
      <c r="F46" s="596"/>
      <c r="G46" s="597">
        <f t="shared" si="0"/>
        <v>0</v>
      </c>
    </row>
    <row r="47" spans="1:7" ht="12.75">
      <c r="A47" s="591">
        <v>36</v>
      </c>
      <c r="B47" s="591">
        <v>2200200360</v>
      </c>
      <c r="C47" s="1121" t="s">
        <v>1993</v>
      </c>
      <c r="D47" s="582">
        <v>32</v>
      </c>
      <c r="E47" s="583" t="s">
        <v>757</v>
      </c>
      <c r="F47" s="596"/>
      <c r="G47" s="597">
        <f t="shared" si="0"/>
        <v>0</v>
      </c>
    </row>
    <row r="48" spans="1:7" ht="12.75">
      <c r="A48" s="591">
        <v>37</v>
      </c>
      <c r="B48" s="591">
        <v>2200200370</v>
      </c>
      <c r="C48" s="591" t="s">
        <v>1994</v>
      </c>
      <c r="D48" s="593">
        <v>1</v>
      </c>
      <c r="E48" s="594" t="s">
        <v>1995</v>
      </c>
      <c r="F48" s="596"/>
      <c r="G48" s="597">
        <f t="shared" si="0"/>
        <v>0</v>
      </c>
    </row>
    <row r="49" spans="1:7" ht="12.75">
      <c r="A49" s="591">
        <v>38</v>
      </c>
      <c r="B49" s="591">
        <v>2200200380</v>
      </c>
      <c r="C49" s="591" t="s">
        <v>1996</v>
      </c>
      <c r="D49" s="604">
        <v>2</v>
      </c>
      <c r="E49" s="594" t="s">
        <v>757</v>
      </c>
      <c r="F49" s="596"/>
      <c r="G49" s="597">
        <f t="shared" si="0"/>
        <v>0</v>
      </c>
    </row>
    <row r="50" spans="1:7" ht="12.75">
      <c r="A50" s="591">
        <v>39</v>
      </c>
      <c r="B50" s="591">
        <v>2200200390</v>
      </c>
      <c r="C50" s="591" t="s">
        <v>1997</v>
      </c>
      <c r="D50" s="604">
        <v>32</v>
      </c>
      <c r="E50" s="594" t="s">
        <v>757</v>
      </c>
      <c r="F50" s="596"/>
      <c r="G50" s="597">
        <f t="shared" si="0"/>
        <v>0</v>
      </c>
    </row>
    <row r="51" spans="1:7" ht="12.75">
      <c r="A51" s="591">
        <v>40</v>
      </c>
      <c r="B51" s="591">
        <v>2200200400</v>
      </c>
      <c r="C51" s="591" t="s">
        <v>1998</v>
      </c>
      <c r="D51" s="591">
        <v>2</v>
      </c>
      <c r="E51" s="594" t="s">
        <v>757</v>
      </c>
      <c r="F51" s="596"/>
      <c r="G51" s="597">
        <f t="shared" si="0"/>
        <v>0</v>
      </c>
    </row>
    <row r="52" spans="1:7" ht="12.75">
      <c r="A52" s="591">
        <v>41</v>
      </c>
      <c r="B52" s="591">
        <v>2200200410</v>
      </c>
      <c r="C52" s="591" t="s">
        <v>1999</v>
      </c>
      <c r="D52" s="591">
        <v>2</v>
      </c>
      <c r="E52" s="594" t="s">
        <v>757</v>
      </c>
      <c r="F52" s="596"/>
      <c r="G52" s="597">
        <f t="shared" si="0"/>
        <v>0</v>
      </c>
    </row>
    <row r="53" spans="1:7" ht="12.75">
      <c r="A53" s="591">
        <v>42</v>
      </c>
      <c r="B53" s="591">
        <v>2200100230</v>
      </c>
      <c r="C53" s="592" t="s">
        <v>2000</v>
      </c>
      <c r="D53" s="607">
        <v>30</v>
      </c>
      <c r="E53" s="594" t="s">
        <v>231</v>
      </c>
      <c r="F53" s="596"/>
      <c r="G53" s="597">
        <f t="shared" si="0"/>
        <v>0</v>
      </c>
    </row>
    <row r="54" spans="1:7" ht="12.75">
      <c r="A54" s="591">
        <v>43</v>
      </c>
      <c r="B54" s="591">
        <v>2200100240</v>
      </c>
      <c r="C54" s="606" t="s">
        <v>2001</v>
      </c>
      <c r="D54" s="1122">
        <v>30</v>
      </c>
      <c r="E54" s="583" t="s">
        <v>757</v>
      </c>
      <c r="F54" s="596"/>
      <c r="G54" s="597">
        <f t="shared" si="0"/>
        <v>0</v>
      </c>
    </row>
    <row r="55" spans="1:7" ht="12.75">
      <c r="A55" s="591">
        <v>44</v>
      </c>
      <c r="B55" s="591">
        <v>2200100250</v>
      </c>
      <c r="C55" s="606" t="s">
        <v>2002</v>
      </c>
      <c r="D55" s="1122">
        <v>10</v>
      </c>
      <c r="E55" s="583" t="s">
        <v>231</v>
      </c>
      <c r="F55" s="596"/>
      <c r="G55" s="597">
        <f t="shared" si="0"/>
        <v>0</v>
      </c>
    </row>
    <row r="56" spans="1:7" ht="12.75">
      <c r="A56" s="591">
        <v>45</v>
      </c>
      <c r="B56" s="591">
        <v>2200200420</v>
      </c>
      <c r="C56" s="591" t="s">
        <v>2003</v>
      </c>
      <c r="D56" s="591">
        <v>20</v>
      </c>
      <c r="E56" s="594" t="s">
        <v>757</v>
      </c>
      <c r="F56" s="596"/>
      <c r="G56" s="597">
        <f t="shared" si="0"/>
        <v>0</v>
      </c>
    </row>
    <row r="57" spans="1:7" ht="12.75">
      <c r="A57" s="591">
        <v>46</v>
      </c>
      <c r="B57" s="591">
        <v>2200200430</v>
      </c>
      <c r="C57" s="591" t="s">
        <v>2004</v>
      </c>
      <c r="D57" s="591">
        <v>40</v>
      </c>
      <c r="E57" s="594" t="s">
        <v>1596</v>
      </c>
      <c r="F57" s="596"/>
      <c r="G57" s="597">
        <f t="shared" si="0"/>
        <v>0</v>
      </c>
    </row>
    <row r="58" spans="1:7" ht="12.75">
      <c r="A58" s="591">
        <v>47</v>
      </c>
      <c r="B58" s="591">
        <v>2200200440</v>
      </c>
      <c r="C58" s="591" t="s">
        <v>2005</v>
      </c>
      <c r="D58" s="591">
        <v>16</v>
      </c>
      <c r="E58" s="594" t="s">
        <v>1596</v>
      </c>
      <c r="F58" s="596"/>
      <c r="G58" s="597">
        <f t="shared" si="0"/>
        <v>0</v>
      </c>
    </row>
    <row r="59" spans="1:7" ht="12.75">
      <c r="A59" s="591">
        <v>48</v>
      </c>
      <c r="B59" s="591">
        <v>2200200450</v>
      </c>
      <c r="C59" s="591" t="s">
        <v>2006</v>
      </c>
      <c r="D59" s="591">
        <v>40</v>
      </c>
      <c r="E59" s="594" t="s">
        <v>1596</v>
      </c>
      <c r="F59" s="596"/>
      <c r="G59" s="597">
        <f t="shared" si="0"/>
        <v>0</v>
      </c>
    </row>
    <row r="60" spans="1:7" ht="12.75">
      <c r="A60" s="591">
        <v>49</v>
      </c>
      <c r="B60" s="591">
        <v>2200200460</v>
      </c>
      <c r="C60" s="604" t="s">
        <v>2007</v>
      </c>
      <c r="D60" s="604">
        <v>16</v>
      </c>
      <c r="E60" s="583" t="s">
        <v>1596</v>
      </c>
      <c r="F60" s="596"/>
      <c r="G60" s="597">
        <f t="shared" si="0"/>
        <v>0</v>
      </c>
    </row>
    <row r="61" spans="1:7" ht="12.75">
      <c r="A61" s="591">
        <v>50</v>
      </c>
      <c r="B61" s="591">
        <v>2200200470</v>
      </c>
      <c r="C61" s="604" t="s">
        <v>2008</v>
      </c>
      <c r="D61" s="604">
        <v>16</v>
      </c>
      <c r="E61" s="583" t="s">
        <v>1596</v>
      </c>
      <c r="F61" s="596"/>
      <c r="G61" s="597">
        <f t="shared" si="0"/>
        <v>0</v>
      </c>
    </row>
    <row r="62" spans="1:7" ht="12.75">
      <c r="A62" s="604"/>
      <c r="B62" s="605"/>
      <c r="C62" s="604"/>
      <c r="D62" s="604"/>
      <c r="E62" s="583"/>
      <c r="F62" s="604"/>
      <c r="G62" s="585"/>
    </row>
    <row r="63" spans="1:7" ht="12.75">
      <c r="A63" s="604"/>
      <c r="B63" s="605"/>
      <c r="C63" s="604"/>
      <c r="D63" s="604"/>
      <c r="E63" s="583"/>
      <c r="F63" s="604"/>
      <c r="G63" s="585"/>
    </row>
    <row r="64" spans="1:7" ht="12.75">
      <c r="A64" s="604"/>
      <c r="B64" s="605"/>
      <c r="C64" s="598" t="s">
        <v>2009</v>
      </c>
      <c r="D64" s="604"/>
      <c r="E64" s="583"/>
      <c r="F64" s="604"/>
      <c r="G64" s="585"/>
    </row>
    <row r="65" spans="1:7" ht="12.75">
      <c r="A65" s="604"/>
      <c r="B65" s="605"/>
      <c r="C65" s="604"/>
      <c r="D65" s="604"/>
      <c r="E65" s="583"/>
      <c r="F65" s="604"/>
      <c r="G65" s="585"/>
    </row>
    <row r="66" spans="1:7" ht="12.75">
      <c r="A66" s="599"/>
      <c r="B66" s="600"/>
      <c r="C66" s="599" t="s">
        <v>1039</v>
      </c>
      <c r="D66" s="599" t="s">
        <v>1040</v>
      </c>
      <c r="E66" s="601" t="s">
        <v>1041</v>
      </c>
      <c r="F66" s="602" t="s">
        <v>1042</v>
      </c>
      <c r="G66" s="603" t="s">
        <v>1043</v>
      </c>
    </row>
    <row r="67" spans="1:7" ht="12.75">
      <c r="A67" s="604"/>
      <c r="B67" s="605"/>
      <c r="C67" s="604"/>
      <c r="D67" s="604"/>
      <c r="E67" s="583"/>
      <c r="F67" s="582"/>
      <c r="G67" s="584"/>
    </row>
    <row r="68" spans="1:7" ht="23.4">
      <c r="A68" s="604"/>
      <c r="B68" s="605"/>
      <c r="C68" s="606" t="s">
        <v>2010</v>
      </c>
      <c r="D68" s="604"/>
      <c r="E68" s="583"/>
      <c r="F68" s="582"/>
      <c r="G68" s="584">
        <v>0</v>
      </c>
    </row>
    <row r="69" spans="1:7" ht="12.75">
      <c r="A69" s="604"/>
      <c r="B69" s="605"/>
      <c r="C69" s="604"/>
      <c r="D69" s="604"/>
      <c r="E69" s="583"/>
      <c r="F69" s="582"/>
      <c r="G69" s="584"/>
    </row>
    <row r="70" spans="1:7" ht="12.75">
      <c r="A70" s="595"/>
      <c r="B70" s="595"/>
      <c r="C70" s="782"/>
      <c r="D70" s="593"/>
      <c r="E70" s="594"/>
      <c r="F70" s="596"/>
      <c r="G70" s="597"/>
    </row>
    <row r="71" spans="1:7" ht="39.6">
      <c r="A71" s="595"/>
      <c r="B71" s="595"/>
      <c r="C71" s="598" t="s">
        <v>2011</v>
      </c>
      <c r="D71" s="593"/>
      <c r="E71" s="594"/>
      <c r="F71" s="596"/>
      <c r="G71" s="597"/>
    </row>
    <row r="72" spans="1:7" ht="12.75">
      <c r="A72" s="595"/>
      <c r="B72" s="595"/>
      <c r="C72" s="598"/>
      <c r="D72" s="593"/>
      <c r="E72" s="594"/>
      <c r="F72" s="596"/>
      <c r="G72" s="597"/>
    </row>
    <row r="73" spans="1:7" ht="12.75">
      <c r="A73" s="599"/>
      <c r="B73" s="600"/>
      <c r="C73" s="599" t="s">
        <v>1039</v>
      </c>
      <c r="D73" s="599" t="s">
        <v>1040</v>
      </c>
      <c r="E73" s="601" t="s">
        <v>1041</v>
      </c>
      <c r="F73" s="602" t="s">
        <v>1042</v>
      </c>
      <c r="G73" s="603" t="s">
        <v>1043</v>
      </c>
    </row>
    <row r="74" spans="1:7" ht="12.75">
      <c r="A74" s="604"/>
      <c r="B74" s="605"/>
      <c r="C74" s="604"/>
      <c r="D74" s="604"/>
      <c r="E74" s="583"/>
      <c r="F74" s="582"/>
      <c r="G74" s="584"/>
    </row>
    <row r="75" spans="1:7" ht="52.8">
      <c r="A75" s="581">
        <v>1</v>
      </c>
      <c r="B75" s="607">
        <v>2200600020</v>
      </c>
      <c r="C75" s="782" t="s">
        <v>2012</v>
      </c>
      <c r="D75" s="593" t="s">
        <v>757</v>
      </c>
      <c r="E75" s="1123">
        <v>3</v>
      </c>
      <c r="F75" s="1124"/>
      <c r="G75" s="1125">
        <f>E75*F75</f>
        <v>0</v>
      </c>
    </row>
    <row r="76" spans="1:7" ht="32.25" customHeight="1">
      <c r="A76" s="581">
        <v>2</v>
      </c>
      <c r="B76" s="607">
        <v>2200600030</v>
      </c>
      <c r="C76" s="1126" t="s">
        <v>2013</v>
      </c>
      <c r="D76" s="593" t="s">
        <v>757</v>
      </c>
      <c r="E76" s="1123">
        <v>1</v>
      </c>
      <c r="F76" s="1124"/>
      <c r="G76" s="1125">
        <f aca="true" t="shared" si="1" ref="G76:G86">E76*F76</f>
        <v>0</v>
      </c>
    </row>
    <row r="77" spans="1:7" ht="69" customHeight="1">
      <c r="A77" s="581">
        <v>3</v>
      </c>
      <c r="B77" s="607">
        <v>2200600040</v>
      </c>
      <c r="C77" s="1126" t="s">
        <v>2014</v>
      </c>
      <c r="D77" s="593" t="s">
        <v>757</v>
      </c>
      <c r="E77" s="1123">
        <v>1500</v>
      </c>
      <c r="F77" s="1124"/>
      <c r="G77" s="1125">
        <f t="shared" si="1"/>
        <v>0</v>
      </c>
    </row>
    <row r="78" spans="1:7" ht="28.5" customHeight="1">
      <c r="A78" s="581">
        <v>4</v>
      </c>
      <c r="B78" s="607">
        <v>2200600050</v>
      </c>
      <c r="C78" s="1126" t="s">
        <v>2015</v>
      </c>
      <c r="D78" s="593" t="s">
        <v>757</v>
      </c>
      <c r="E78" s="1123">
        <v>12</v>
      </c>
      <c r="F78" s="1124"/>
      <c r="G78" s="1125">
        <f>E78*F78</f>
        <v>0</v>
      </c>
    </row>
    <row r="79" spans="1:7" ht="23.4">
      <c r="A79" s="581">
        <v>5</v>
      </c>
      <c r="B79" s="607">
        <v>2200600060</v>
      </c>
      <c r="C79" s="1126" t="s">
        <v>2016</v>
      </c>
      <c r="D79" s="593" t="s">
        <v>757</v>
      </c>
      <c r="E79" s="1123">
        <v>1</v>
      </c>
      <c r="F79" s="1124"/>
      <c r="G79" s="1125">
        <f t="shared" si="1"/>
        <v>0</v>
      </c>
    </row>
    <row r="80" spans="1:7" ht="12.75">
      <c r="A80" s="581">
        <v>6</v>
      </c>
      <c r="B80" s="607">
        <v>2200600070</v>
      </c>
      <c r="C80" s="1126" t="s">
        <v>2017</v>
      </c>
      <c r="D80" s="593" t="s">
        <v>757</v>
      </c>
      <c r="E80" s="1123">
        <v>1</v>
      </c>
      <c r="F80" s="1124"/>
      <c r="G80" s="1125">
        <f t="shared" si="1"/>
        <v>0</v>
      </c>
    </row>
    <row r="81" spans="1:7" ht="33" customHeight="1">
      <c r="A81" s="581">
        <v>7</v>
      </c>
      <c r="B81" s="607">
        <v>2200600080</v>
      </c>
      <c r="C81" s="1126" t="s">
        <v>2018</v>
      </c>
      <c r="D81" s="593" t="s">
        <v>757</v>
      </c>
      <c r="E81" s="1123">
        <v>1</v>
      </c>
      <c r="F81" s="1124"/>
      <c r="G81" s="1125">
        <f t="shared" si="1"/>
        <v>0</v>
      </c>
    </row>
    <row r="82" spans="1:7" ht="41.25" customHeight="1">
      <c r="A82" s="581">
        <v>8</v>
      </c>
      <c r="B82" s="607">
        <v>2200600090</v>
      </c>
      <c r="C82" s="1126" t="s">
        <v>2019</v>
      </c>
      <c r="D82" s="593" t="s">
        <v>757</v>
      </c>
      <c r="E82" s="1123">
        <v>1</v>
      </c>
      <c r="F82" s="1124"/>
      <c r="G82" s="1125">
        <f t="shared" si="1"/>
        <v>0</v>
      </c>
    </row>
    <row r="83" spans="1:7" ht="59.25" customHeight="1">
      <c r="A83" s="581">
        <v>9</v>
      </c>
      <c r="B83" s="607">
        <v>2200600100</v>
      </c>
      <c r="C83" s="1126" t="s">
        <v>2020</v>
      </c>
      <c r="D83" s="593" t="s">
        <v>757</v>
      </c>
      <c r="E83" s="1123">
        <v>50</v>
      </c>
      <c r="F83" s="1124"/>
      <c r="G83" s="1125">
        <f t="shared" si="1"/>
        <v>0</v>
      </c>
    </row>
    <row r="84" spans="1:7" ht="52.5" customHeight="1">
      <c r="A84" s="581">
        <v>10</v>
      </c>
      <c r="B84" s="607">
        <v>2200600110</v>
      </c>
      <c r="C84" s="1126" t="s">
        <v>2021</v>
      </c>
      <c r="D84" s="593" t="s">
        <v>1596</v>
      </c>
      <c r="E84" s="1123">
        <v>50</v>
      </c>
      <c r="F84" s="1124"/>
      <c r="G84" s="1125">
        <f t="shared" si="1"/>
        <v>0</v>
      </c>
    </row>
    <row r="85" spans="1:7" ht="29.25" customHeight="1">
      <c r="A85" s="581">
        <v>11</v>
      </c>
      <c r="B85" s="607">
        <v>2200600120</v>
      </c>
      <c r="C85" s="1126" t="s">
        <v>2022</v>
      </c>
      <c r="D85" s="593" t="s">
        <v>757</v>
      </c>
      <c r="E85" s="1123">
        <v>1</v>
      </c>
      <c r="F85" s="1124"/>
      <c r="G85" s="1125">
        <f t="shared" si="1"/>
        <v>0</v>
      </c>
    </row>
    <row r="86" spans="1:7" ht="17.25" customHeight="1">
      <c r="A86" s="581">
        <v>12</v>
      </c>
      <c r="B86" s="607">
        <v>2200600130</v>
      </c>
      <c r="C86" s="1126" t="s">
        <v>2023</v>
      </c>
      <c r="D86" s="593" t="s">
        <v>757</v>
      </c>
      <c r="E86" s="1123">
        <v>1</v>
      </c>
      <c r="F86" s="1124"/>
      <c r="G86" s="1125">
        <f t="shared" si="1"/>
        <v>0</v>
      </c>
    </row>
    <row r="87" spans="1:7" ht="17.25" customHeight="1">
      <c r="A87" s="581">
        <v>13</v>
      </c>
      <c r="B87" s="607">
        <v>2200600140</v>
      </c>
      <c r="C87" s="1126" t="s">
        <v>2024</v>
      </c>
      <c r="D87" s="593" t="s">
        <v>757</v>
      </c>
      <c r="E87" s="1123">
        <v>1</v>
      </c>
      <c r="F87" s="1124"/>
      <c r="G87" s="1125">
        <f>E87*F87</f>
        <v>0</v>
      </c>
    </row>
    <row r="88" spans="1:7" ht="17.25" customHeight="1">
      <c r="A88" s="581">
        <v>14</v>
      </c>
      <c r="B88" s="607">
        <v>989178315</v>
      </c>
      <c r="C88" s="1126" t="s">
        <v>1718</v>
      </c>
      <c r="D88" s="593" t="s">
        <v>9</v>
      </c>
      <c r="E88" s="1123">
        <v>2</v>
      </c>
      <c r="F88" s="1124"/>
      <c r="G88" s="1125">
        <f>F88*E88</f>
        <v>0</v>
      </c>
    </row>
    <row r="89" spans="1:7" ht="17.25" customHeight="1">
      <c r="A89" s="581"/>
      <c r="B89" s="607"/>
      <c r="C89" s="1126"/>
      <c r="D89" s="593"/>
      <c r="E89" s="1129"/>
      <c r="F89" s="1130"/>
      <c r="G89" s="1131"/>
    </row>
    <row r="90" spans="1:7" ht="17.25" customHeight="1">
      <c r="A90" s="581"/>
      <c r="B90" s="607"/>
      <c r="C90" s="1126"/>
      <c r="D90" s="593"/>
      <c r="E90" s="1129"/>
      <c r="F90" s="1130"/>
      <c r="G90" s="1131"/>
    </row>
    <row r="91" spans="1:7" ht="12.75">
      <c r="A91" s="599"/>
      <c r="B91" s="599"/>
      <c r="C91" s="608"/>
      <c r="D91" s="602"/>
      <c r="E91" s="601"/>
      <c r="F91" s="603"/>
      <c r="G91" s="603"/>
    </row>
    <row r="92" spans="1:7" ht="12.75">
      <c r="A92" s="591"/>
      <c r="B92" s="591"/>
      <c r="C92" s="592"/>
      <c r="D92" s="593"/>
      <c r="E92" s="594"/>
      <c r="F92" s="596"/>
      <c r="G92" s="597"/>
    </row>
    <row r="93" spans="1:10" ht="15.6">
      <c r="A93" s="595"/>
      <c r="B93" s="595"/>
      <c r="C93" s="590" t="s">
        <v>1062</v>
      </c>
      <c r="D93" s="609"/>
      <c r="E93" s="592"/>
      <c r="F93" s="609"/>
      <c r="G93" s="610">
        <f>SUM(G1:G92)</f>
        <v>0</v>
      </c>
      <c r="J93" s="610"/>
    </row>
    <row r="94" spans="3:7" ht="12.75">
      <c r="C94" s="612"/>
      <c r="D94" s="613"/>
      <c r="E94" s="612"/>
      <c r="F94" s="613"/>
      <c r="G94" s="612"/>
    </row>
  </sheetData>
  <mergeCells count="2">
    <mergeCell ref="A1:C1"/>
    <mergeCell ref="A2:C2"/>
  </mergeCells>
  <printOptions/>
  <pageMargins left="0.38" right="0.4" top="0.984251969" bottom="0.984251969" header="0.4921259845" footer="0.4921259845"/>
  <pageSetup fitToHeight="0" fitToWidth="1" horizontalDpi="300" verticalDpi="300" orientation="portrait" paperSize="9" scale="94" r:id="rId1"/>
  <headerFooter alignWithMargins="0">
    <oddFooter>&amp;CStránka &amp;P</oddFooter>
  </headerFooter>
  <rowBreaks count="2" manualBreakCount="2">
    <brk id="6" max="16383" man="1"/>
    <brk id="62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81"/>
  <sheetViews>
    <sheetView view="pageBreakPreview" zoomScaleSheetLayoutView="100" workbookViewId="0" topLeftCell="A64">
      <selection activeCell="L82" sqref="L82"/>
    </sheetView>
  </sheetViews>
  <sheetFormatPr defaultColWidth="9.125" defaultRowHeight="12.75"/>
  <cols>
    <col min="1" max="1" width="5.625" style="595" customWidth="1"/>
    <col min="2" max="2" width="62.875" style="782" customWidth="1"/>
    <col min="3" max="3" width="5.50390625" style="593" customWidth="1"/>
    <col min="4" max="4" width="11.625" style="596" customWidth="1"/>
    <col min="5" max="5" width="7.875" style="593" customWidth="1"/>
    <col min="6" max="6" width="6.375" style="593" customWidth="1"/>
    <col min="7" max="7" width="6.50390625" style="595" customWidth="1"/>
    <col min="8" max="8" width="9.125" style="595" customWidth="1"/>
    <col min="9" max="9" width="13.125" style="597" customWidth="1"/>
    <col min="10" max="10" width="10.50390625" style="595" customWidth="1"/>
    <col min="11" max="11" width="12.00390625" style="595" customWidth="1"/>
    <col min="12" max="12" width="63.625" style="782" customWidth="1"/>
    <col min="13" max="13" width="7.875" style="593" customWidth="1"/>
    <col min="14" max="14" width="5.50390625" style="594" customWidth="1"/>
    <col min="15" max="15" width="9.875" style="596" customWidth="1"/>
    <col min="16" max="16" width="16.50390625" style="597" customWidth="1"/>
    <col min="17" max="17" width="14.625" style="783" bestFit="1" customWidth="1"/>
    <col min="18" max="256" width="9.125" style="595" customWidth="1"/>
    <col min="257" max="257" width="5.625" style="595" customWidth="1"/>
    <col min="258" max="258" width="62.875" style="595" customWidth="1"/>
    <col min="259" max="259" width="5.50390625" style="595" customWidth="1"/>
    <col min="260" max="260" width="11.625" style="595" customWidth="1"/>
    <col min="261" max="261" width="7.875" style="595" customWidth="1"/>
    <col min="262" max="262" width="6.375" style="595" customWidth="1"/>
    <col min="263" max="263" width="6.50390625" style="595" customWidth="1"/>
    <col min="264" max="264" width="9.125" style="595" customWidth="1"/>
    <col min="265" max="265" width="13.125" style="595" customWidth="1"/>
    <col min="266" max="266" width="10.50390625" style="595" customWidth="1"/>
    <col min="267" max="267" width="12.00390625" style="595" customWidth="1"/>
    <col min="268" max="268" width="63.625" style="595" customWidth="1"/>
    <col min="269" max="269" width="7.875" style="595" customWidth="1"/>
    <col min="270" max="270" width="5.50390625" style="595" customWidth="1"/>
    <col min="271" max="271" width="9.875" style="595" customWidth="1"/>
    <col min="272" max="272" width="16.50390625" style="595" customWidth="1"/>
    <col min="273" max="273" width="14.625" style="595" bestFit="1" customWidth="1"/>
    <col min="274" max="512" width="9.125" style="595" customWidth="1"/>
    <col min="513" max="513" width="5.625" style="595" customWidth="1"/>
    <col min="514" max="514" width="62.875" style="595" customWidth="1"/>
    <col min="515" max="515" width="5.50390625" style="595" customWidth="1"/>
    <col min="516" max="516" width="11.625" style="595" customWidth="1"/>
    <col min="517" max="517" width="7.875" style="595" customWidth="1"/>
    <col min="518" max="518" width="6.375" style="595" customWidth="1"/>
    <col min="519" max="519" width="6.50390625" style="595" customWidth="1"/>
    <col min="520" max="520" width="9.125" style="595" customWidth="1"/>
    <col min="521" max="521" width="13.125" style="595" customWidth="1"/>
    <col min="522" max="522" width="10.50390625" style="595" customWidth="1"/>
    <col min="523" max="523" width="12.00390625" style="595" customWidth="1"/>
    <col min="524" max="524" width="63.625" style="595" customWidth="1"/>
    <col min="525" max="525" width="7.875" style="595" customWidth="1"/>
    <col min="526" max="526" width="5.50390625" style="595" customWidth="1"/>
    <col min="527" max="527" width="9.875" style="595" customWidth="1"/>
    <col min="528" max="528" width="16.50390625" style="595" customWidth="1"/>
    <col min="529" max="529" width="14.625" style="595" bestFit="1" customWidth="1"/>
    <col min="530" max="768" width="9.125" style="595" customWidth="1"/>
    <col min="769" max="769" width="5.625" style="595" customWidth="1"/>
    <col min="770" max="770" width="62.875" style="595" customWidth="1"/>
    <col min="771" max="771" width="5.50390625" style="595" customWidth="1"/>
    <col min="772" max="772" width="11.625" style="595" customWidth="1"/>
    <col min="773" max="773" width="7.875" style="595" customWidth="1"/>
    <col min="774" max="774" width="6.375" style="595" customWidth="1"/>
    <col min="775" max="775" width="6.50390625" style="595" customWidth="1"/>
    <col min="776" max="776" width="9.125" style="595" customWidth="1"/>
    <col min="777" max="777" width="13.125" style="595" customWidth="1"/>
    <col min="778" max="778" width="10.50390625" style="595" customWidth="1"/>
    <col min="779" max="779" width="12.00390625" style="595" customWidth="1"/>
    <col min="780" max="780" width="63.625" style="595" customWidth="1"/>
    <col min="781" max="781" width="7.875" style="595" customWidth="1"/>
    <col min="782" max="782" width="5.50390625" style="595" customWidth="1"/>
    <col min="783" max="783" width="9.875" style="595" customWidth="1"/>
    <col min="784" max="784" width="16.50390625" style="595" customWidth="1"/>
    <col min="785" max="785" width="14.625" style="595" bestFit="1" customWidth="1"/>
    <col min="786" max="1024" width="9.125" style="595" customWidth="1"/>
    <col min="1025" max="1025" width="5.625" style="595" customWidth="1"/>
    <col min="1026" max="1026" width="62.875" style="595" customWidth="1"/>
    <col min="1027" max="1027" width="5.50390625" style="595" customWidth="1"/>
    <col min="1028" max="1028" width="11.625" style="595" customWidth="1"/>
    <col min="1029" max="1029" width="7.875" style="595" customWidth="1"/>
    <col min="1030" max="1030" width="6.375" style="595" customWidth="1"/>
    <col min="1031" max="1031" width="6.50390625" style="595" customWidth="1"/>
    <col min="1032" max="1032" width="9.125" style="595" customWidth="1"/>
    <col min="1033" max="1033" width="13.125" style="595" customWidth="1"/>
    <col min="1034" max="1034" width="10.50390625" style="595" customWidth="1"/>
    <col min="1035" max="1035" width="12.00390625" style="595" customWidth="1"/>
    <col min="1036" max="1036" width="63.625" style="595" customWidth="1"/>
    <col min="1037" max="1037" width="7.875" style="595" customWidth="1"/>
    <col min="1038" max="1038" width="5.50390625" style="595" customWidth="1"/>
    <col min="1039" max="1039" width="9.875" style="595" customWidth="1"/>
    <col min="1040" max="1040" width="16.50390625" style="595" customWidth="1"/>
    <col min="1041" max="1041" width="14.625" style="595" bestFit="1" customWidth="1"/>
    <col min="1042" max="1280" width="9.125" style="595" customWidth="1"/>
    <col min="1281" max="1281" width="5.625" style="595" customWidth="1"/>
    <col min="1282" max="1282" width="62.875" style="595" customWidth="1"/>
    <col min="1283" max="1283" width="5.50390625" style="595" customWidth="1"/>
    <col min="1284" max="1284" width="11.625" style="595" customWidth="1"/>
    <col min="1285" max="1285" width="7.875" style="595" customWidth="1"/>
    <col min="1286" max="1286" width="6.375" style="595" customWidth="1"/>
    <col min="1287" max="1287" width="6.50390625" style="595" customWidth="1"/>
    <col min="1288" max="1288" width="9.125" style="595" customWidth="1"/>
    <col min="1289" max="1289" width="13.125" style="595" customWidth="1"/>
    <col min="1290" max="1290" width="10.50390625" style="595" customWidth="1"/>
    <col min="1291" max="1291" width="12.00390625" style="595" customWidth="1"/>
    <col min="1292" max="1292" width="63.625" style="595" customWidth="1"/>
    <col min="1293" max="1293" width="7.875" style="595" customWidth="1"/>
    <col min="1294" max="1294" width="5.50390625" style="595" customWidth="1"/>
    <col min="1295" max="1295" width="9.875" style="595" customWidth="1"/>
    <col min="1296" max="1296" width="16.50390625" style="595" customWidth="1"/>
    <col min="1297" max="1297" width="14.625" style="595" bestFit="1" customWidth="1"/>
    <col min="1298" max="1536" width="9.125" style="595" customWidth="1"/>
    <col min="1537" max="1537" width="5.625" style="595" customWidth="1"/>
    <col min="1538" max="1538" width="62.875" style="595" customWidth="1"/>
    <col min="1539" max="1539" width="5.50390625" style="595" customWidth="1"/>
    <col min="1540" max="1540" width="11.625" style="595" customWidth="1"/>
    <col min="1541" max="1541" width="7.875" style="595" customWidth="1"/>
    <col min="1542" max="1542" width="6.375" style="595" customWidth="1"/>
    <col min="1543" max="1543" width="6.50390625" style="595" customWidth="1"/>
    <col min="1544" max="1544" width="9.125" style="595" customWidth="1"/>
    <col min="1545" max="1545" width="13.125" style="595" customWidth="1"/>
    <col min="1546" max="1546" width="10.50390625" style="595" customWidth="1"/>
    <col min="1547" max="1547" width="12.00390625" style="595" customWidth="1"/>
    <col min="1548" max="1548" width="63.625" style="595" customWidth="1"/>
    <col min="1549" max="1549" width="7.875" style="595" customWidth="1"/>
    <col min="1550" max="1550" width="5.50390625" style="595" customWidth="1"/>
    <col min="1551" max="1551" width="9.875" style="595" customWidth="1"/>
    <col min="1552" max="1552" width="16.50390625" style="595" customWidth="1"/>
    <col min="1553" max="1553" width="14.625" style="595" bestFit="1" customWidth="1"/>
    <col min="1554" max="1792" width="9.125" style="595" customWidth="1"/>
    <col min="1793" max="1793" width="5.625" style="595" customWidth="1"/>
    <col min="1794" max="1794" width="62.875" style="595" customWidth="1"/>
    <col min="1795" max="1795" width="5.50390625" style="595" customWidth="1"/>
    <col min="1796" max="1796" width="11.625" style="595" customWidth="1"/>
    <col min="1797" max="1797" width="7.875" style="595" customWidth="1"/>
    <col min="1798" max="1798" width="6.375" style="595" customWidth="1"/>
    <col min="1799" max="1799" width="6.50390625" style="595" customWidth="1"/>
    <col min="1800" max="1800" width="9.125" style="595" customWidth="1"/>
    <col min="1801" max="1801" width="13.125" style="595" customWidth="1"/>
    <col min="1802" max="1802" width="10.50390625" style="595" customWidth="1"/>
    <col min="1803" max="1803" width="12.00390625" style="595" customWidth="1"/>
    <col min="1804" max="1804" width="63.625" style="595" customWidth="1"/>
    <col min="1805" max="1805" width="7.875" style="595" customWidth="1"/>
    <col min="1806" max="1806" width="5.50390625" style="595" customWidth="1"/>
    <col min="1807" max="1807" width="9.875" style="595" customWidth="1"/>
    <col min="1808" max="1808" width="16.50390625" style="595" customWidth="1"/>
    <col min="1809" max="1809" width="14.625" style="595" bestFit="1" customWidth="1"/>
    <col min="1810" max="2048" width="9.125" style="595" customWidth="1"/>
    <col min="2049" max="2049" width="5.625" style="595" customWidth="1"/>
    <col min="2050" max="2050" width="62.875" style="595" customWidth="1"/>
    <col min="2051" max="2051" width="5.50390625" style="595" customWidth="1"/>
    <col min="2052" max="2052" width="11.625" style="595" customWidth="1"/>
    <col min="2053" max="2053" width="7.875" style="595" customWidth="1"/>
    <col min="2054" max="2054" width="6.375" style="595" customWidth="1"/>
    <col min="2055" max="2055" width="6.50390625" style="595" customWidth="1"/>
    <col min="2056" max="2056" width="9.125" style="595" customWidth="1"/>
    <col min="2057" max="2057" width="13.125" style="595" customWidth="1"/>
    <col min="2058" max="2058" width="10.50390625" style="595" customWidth="1"/>
    <col min="2059" max="2059" width="12.00390625" style="595" customWidth="1"/>
    <col min="2060" max="2060" width="63.625" style="595" customWidth="1"/>
    <col min="2061" max="2061" width="7.875" style="595" customWidth="1"/>
    <col min="2062" max="2062" width="5.50390625" style="595" customWidth="1"/>
    <col min="2063" max="2063" width="9.875" style="595" customWidth="1"/>
    <col min="2064" max="2064" width="16.50390625" style="595" customWidth="1"/>
    <col min="2065" max="2065" width="14.625" style="595" bestFit="1" customWidth="1"/>
    <col min="2066" max="2304" width="9.125" style="595" customWidth="1"/>
    <col min="2305" max="2305" width="5.625" style="595" customWidth="1"/>
    <col min="2306" max="2306" width="62.875" style="595" customWidth="1"/>
    <col min="2307" max="2307" width="5.50390625" style="595" customWidth="1"/>
    <col min="2308" max="2308" width="11.625" style="595" customWidth="1"/>
    <col min="2309" max="2309" width="7.875" style="595" customWidth="1"/>
    <col min="2310" max="2310" width="6.375" style="595" customWidth="1"/>
    <col min="2311" max="2311" width="6.50390625" style="595" customWidth="1"/>
    <col min="2312" max="2312" width="9.125" style="595" customWidth="1"/>
    <col min="2313" max="2313" width="13.125" style="595" customWidth="1"/>
    <col min="2314" max="2314" width="10.50390625" style="595" customWidth="1"/>
    <col min="2315" max="2315" width="12.00390625" style="595" customWidth="1"/>
    <col min="2316" max="2316" width="63.625" style="595" customWidth="1"/>
    <col min="2317" max="2317" width="7.875" style="595" customWidth="1"/>
    <col min="2318" max="2318" width="5.50390625" style="595" customWidth="1"/>
    <col min="2319" max="2319" width="9.875" style="595" customWidth="1"/>
    <col min="2320" max="2320" width="16.50390625" style="595" customWidth="1"/>
    <col min="2321" max="2321" width="14.625" style="595" bestFit="1" customWidth="1"/>
    <col min="2322" max="2560" width="9.125" style="595" customWidth="1"/>
    <col min="2561" max="2561" width="5.625" style="595" customWidth="1"/>
    <col min="2562" max="2562" width="62.875" style="595" customWidth="1"/>
    <col min="2563" max="2563" width="5.50390625" style="595" customWidth="1"/>
    <col min="2564" max="2564" width="11.625" style="595" customWidth="1"/>
    <col min="2565" max="2565" width="7.875" style="595" customWidth="1"/>
    <col min="2566" max="2566" width="6.375" style="595" customWidth="1"/>
    <col min="2567" max="2567" width="6.50390625" style="595" customWidth="1"/>
    <col min="2568" max="2568" width="9.125" style="595" customWidth="1"/>
    <col min="2569" max="2569" width="13.125" style="595" customWidth="1"/>
    <col min="2570" max="2570" width="10.50390625" style="595" customWidth="1"/>
    <col min="2571" max="2571" width="12.00390625" style="595" customWidth="1"/>
    <col min="2572" max="2572" width="63.625" style="595" customWidth="1"/>
    <col min="2573" max="2573" width="7.875" style="595" customWidth="1"/>
    <col min="2574" max="2574" width="5.50390625" style="595" customWidth="1"/>
    <col min="2575" max="2575" width="9.875" style="595" customWidth="1"/>
    <col min="2576" max="2576" width="16.50390625" style="595" customWidth="1"/>
    <col min="2577" max="2577" width="14.625" style="595" bestFit="1" customWidth="1"/>
    <col min="2578" max="2816" width="9.125" style="595" customWidth="1"/>
    <col min="2817" max="2817" width="5.625" style="595" customWidth="1"/>
    <col min="2818" max="2818" width="62.875" style="595" customWidth="1"/>
    <col min="2819" max="2819" width="5.50390625" style="595" customWidth="1"/>
    <col min="2820" max="2820" width="11.625" style="595" customWidth="1"/>
    <col min="2821" max="2821" width="7.875" style="595" customWidth="1"/>
    <col min="2822" max="2822" width="6.375" style="595" customWidth="1"/>
    <col min="2823" max="2823" width="6.50390625" style="595" customWidth="1"/>
    <col min="2824" max="2824" width="9.125" style="595" customWidth="1"/>
    <col min="2825" max="2825" width="13.125" style="595" customWidth="1"/>
    <col min="2826" max="2826" width="10.50390625" style="595" customWidth="1"/>
    <col min="2827" max="2827" width="12.00390625" style="595" customWidth="1"/>
    <col min="2828" max="2828" width="63.625" style="595" customWidth="1"/>
    <col min="2829" max="2829" width="7.875" style="595" customWidth="1"/>
    <col min="2830" max="2830" width="5.50390625" style="595" customWidth="1"/>
    <col min="2831" max="2831" width="9.875" style="595" customWidth="1"/>
    <col min="2832" max="2832" width="16.50390625" style="595" customWidth="1"/>
    <col min="2833" max="2833" width="14.625" style="595" bestFit="1" customWidth="1"/>
    <col min="2834" max="3072" width="9.125" style="595" customWidth="1"/>
    <col min="3073" max="3073" width="5.625" style="595" customWidth="1"/>
    <col min="3074" max="3074" width="62.875" style="595" customWidth="1"/>
    <col min="3075" max="3075" width="5.50390625" style="595" customWidth="1"/>
    <col min="3076" max="3076" width="11.625" style="595" customWidth="1"/>
    <col min="3077" max="3077" width="7.875" style="595" customWidth="1"/>
    <col min="3078" max="3078" width="6.375" style="595" customWidth="1"/>
    <col min="3079" max="3079" width="6.50390625" style="595" customWidth="1"/>
    <col min="3080" max="3080" width="9.125" style="595" customWidth="1"/>
    <col min="3081" max="3081" width="13.125" style="595" customWidth="1"/>
    <col min="3082" max="3082" width="10.50390625" style="595" customWidth="1"/>
    <col min="3083" max="3083" width="12.00390625" style="595" customWidth="1"/>
    <col min="3084" max="3084" width="63.625" style="595" customWidth="1"/>
    <col min="3085" max="3085" width="7.875" style="595" customWidth="1"/>
    <col min="3086" max="3086" width="5.50390625" style="595" customWidth="1"/>
    <col min="3087" max="3087" width="9.875" style="595" customWidth="1"/>
    <col min="3088" max="3088" width="16.50390625" style="595" customWidth="1"/>
    <col min="3089" max="3089" width="14.625" style="595" bestFit="1" customWidth="1"/>
    <col min="3090" max="3328" width="9.125" style="595" customWidth="1"/>
    <col min="3329" max="3329" width="5.625" style="595" customWidth="1"/>
    <col min="3330" max="3330" width="62.875" style="595" customWidth="1"/>
    <col min="3331" max="3331" width="5.50390625" style="595" customWidth="1"/>
    <col min="3332" max="3332" width="11.625" style="595" customWidth="1"/>
    <col min="3333" max="3333" width="7.875" style="595" customWidth="1"/>
    <col min="3334" max="3334" width="6.375" style="595" customWidth="1"/>
    <col min="3335" max="3335" width="6.50390625" style="595" customWidth="1"/>
    <col min="3336" max="3336" width="9.125" style="595" customWidth="1"/>
    <col min="3337" max="3337" width="13.125" style="595" customWidth="1"/>
    <col min="3338" max="3338" width="10.50390625" style="595" customWidth="1"/>
    <col min="3339" max="3339" width="12.00390625" style="595" customWidth="1"/>
    <col min="3340" max="3340" width="63.625" style="595" customWidth="1"/>
    <col min="3341" max="3341" width="7.875" style="595" customWidth="1"/>
    <col min="3342" max="3342" width="5.50390625" style="595" customWidth="1"/>
    <col min="3343" max="3343" width="9.875" style="595" customWidth="1"/>
    <col min="3344" max="3344" width="16.50390625" style="595" customWidth="1"/>
    <col min="3345" max="3345" width="14.625" style="595" bestFit="1" customWidth="1"/>
    <col min="3346" max="3584" width="9.125" style="595" customWidth="1"/>
    <col min="3585" max="3585" width="5.625" style="595" customWidth="1"/>
    <col min="3586" max="3586" width="62.875" style="595" customWidth="1"/>
    <col min="3587" max="3587" width="5.50390625" style="595" customWidth="1"/>
    <col min="3588" max="3588" width="11.625" style="595" customWidth="1"/>
    <col min="3589" max="3589" width="7.875" style="595" customWidth="1"/>
    <col min="3590" max="3590" width="6.375" style="595" customWidth="1"/>
    <col min="3591" max="3591" width="6.50390625" style="595" customWidth="1"/>
    <col min="3592" max="3592" width="9.125" style="595" customWidth="1"/>
    <col min="3593" max="3593" width="13.125" style="595" customWidth="1"/>
    <col min="3594" max="3594" width="10.50390625" style="595" customWidth="1"/>
    <col min="3595" max="3595" width="12.00390625" style="595" customWidth="1"/>
    <col min="3596" max="3596" width="63.625" style="595" customWidth="1"/>
    <col min="3597" max="3597" width="7.875" style="595" customWidth="1"/>
    <col min="3598" max="3598" width="5.50390625" style="595" customWidth="1"/>
    <col min="3599" max="3599" width="9.875" style="595" customWidth="1"/>
    <col min="3600" max="3600" width="16.50390625" style="595" customWidth="1"/>
    <col min="3601" max="3601" width="14.625" style="595" bestFit="1" customWidth="1"/>
    <col min="3602" max="3840" width="9.125" style="595" customWidth="1"/>
    <col min="3841" max="3841" width="5.625" style="595" customWidth="1"/>
    <col min="3842" max="3842" width="62.875" style="595" customWidth="1"/>
    <col min="3843" max="3843" width="5.50390625" style="595" customWidth="1"/>
    <col min="3844" max="3844" width="11.625" style="595" customWidth="1"/>
    <col min="3845" max="3845" width="7.875" style="595" customWidth="1"/>
    <col min="3846" max="3846" width="6.375" style="595" customWidth="1"/>
    <col min="3847" max="3847" width="6.50390625" style="595" customWidth="1"/>
    <col min="3848" max="3848" width="9.125" style="595" customWidth="1"/>
    <col min="3849" max="3849" width="13.125" style="595" customWidth="1"/>
    <col min="3850" max="3850" width="10.50390625" style="595" customWidth="1"/>
    <col min="3851" max="3851" width="12.00390625" style="595" customWidth="1"/>
    <col min="3852" max="3852" width="63.625" style="595" customWidth="1"/>
    <col min="3853" max="3853" width="7.875" style="595" customWidth="1"/>
    <col min="3854" max="3854" width="5.50390625" style="595" customWidth="1"/>
    <col min="3855" max="3855" width="9.875" style="595" customWidth="1"/>
    <col min="3856" max="3856" width="16.50390625" style="595" customWidth="1"/>
    <col min="3857" max="3857" width="14.625" style="595" bestFit="1" customWidth="1"/>
    <col min="3858" max="4096" width="9.125" style="595" customWidth="1"/>
    <col min="4097" max="4097" width="5.625" style="595" customWidth="1"/>
    <col min="4098" max="4098" width="62.875" style="595" customWidth="1"/>
    <col min="4099" max="4099" width="5.50390625" style="595" customWidth="1"/>
    <col min="4100" max="4100" width="11.625" style="595" customWidth="1"/>
    <col min="4101" max="4101" width="7.875" style="595" customWidth="1"/>
    <col min="4102" max="4102" width="6.375" style="595" customWidth="1"/>
    <col min="4103" max="4103" width="6.50390625" style="595" customWidth="1"/>
    <col min="4104" max="4104" width="9.125" style="595" customWidth="1"/>
    <col min="4105" max="4105" width="13.125" style="595" customWidth="1"/>
    <col min="4106" max="4106" width="10.50390625" style="595" customWidth="1"/>
    <col min="4107" max="4107" width="12.00390625" style="595" customWidth="1"/>
    <col min="4108" max="4108" width="63.625" style="595" customWidth="1"/>
    <col min="4109" max="4109" width="7.875" style="595" customWidth="1"/>
    <col min="4110" max="4110" width="5.50390625" style="595" customWidth="1"/>
    <col min="4111" max="4111" width="9.875" style="595" customWidth="1"/>
    <col min="4112" max="4112" width="16.50390625" style="595" customWidth="1"/>
    <col min="4113" max="4113" width="14.625" style="595" bestFit="1" customWidth="1"/>
    <col min="4114" max="4352" width="9.125" style="595" customWidth="1"/>
    <col min="4353" max="4353" width="5.625" style="595" customWidth="1"/>
    <col min="4354" max="4354" width="62.875" style="595" customWidth="1"/>
    <col min="4355" max="4355" width="5.50390625" style="595" customWidth="1"/>
    <col min="4356" max="4356" width="11.625" style="595" customWidth="1"/>
    <col min="4357" max="4357" width="7.875" style="595" customWidth="1"/>
    <col min="4358" max="4358" width="6.375" style="595" customWidth="1"/>
    <col min="4359" max="4359" width="6.50390625" style="595" customWidth="1"/>
    <col min="4360" max="4360" width="9.125" style="595" customWidth="1"/>
    <col min="4361" max="4361" width="13.125" style="595" customWidth="1"/>
    <col min="4362" max="4362" width="10.50390625" style="595" customWidth="1"/>
    <col min="4363" max="4363" width="12.00390625" style="595" customWidth="1"/>
    <col min="4364" max="4364" width="63.625" style="595" customWidth="1"/>
    <col min="4365" max="4365" width="7.875" style="595" customWidth="1"/>
    <col min="4366" max="4366" width="5.50390625" style="595" customWidth="1"/>
    <col min="4367" max="4367" width="9.875" style="595" customWidth="1"/>
    <col min="4368" max="4368" width="16.50390625" style="595" customWidth="1"/>
    <col min="4369" max="4369" width="14.625" style="595" bestFit="1" customWidth="1"/>
    <col min="4370" max="4608" width="9.125" style="595" customWidth="1"/>
    <col min="4609" max="4609" width="5.625" style="595" customWidth="1"/>
    <col min="4610" max="4610" width="62.875" style="595" customWidth="1"/>
    <col min="4611" max="4611" width="5.50390625" style="595" customWidth="1"/>
    <col min="4612" max="4612" width="11.625" style="595" customWidth="1"/>
    <col min="4613" max="4613" width="7.875" style="595" customWidth="1"/>
    <col min="4614" max="4614" width="6.375" style="595" customWidth="1"/>
    <col min="4615" max="4615" width="6.50390625" style="595" customWidth="1"/>
    <col min="4616" max="4616" width="9.125" style="595" customWidth="1"/>
    <col min="4617" max="4617" width="13.125" style="595" customWidth="1"/>
    <col min="4618" max="4618" width="10.50390625" style="595" customWidth="1"/>
    <col min="4619" max="4619" width="12.00390625" style="595" customWidth="1"/>
    <col min="4620" max="4620" width="63.625" style="595" customWidth="1"/>
    <col min="4621" max="4621" width="7.875" style="595" customWidth="1"/>
    <col min="4622" max="4622" width="5.50390625" style="595" customWidth="1"/>
    <col min="4623" max="4623" width="9.875" style="595" customWidth="1"/>
    <col min="4624" max="4624" width="16.50390625" style="595" customWidth="1"/>
    <col min="4625" max="4625" width="14.625" style="595" bestFit="1" customWidth="1"/>
    <col min="4626" max="4864" width="9.125" style="595" customWidth="1"/>
    <col min="4865" max="4865" width="5.625" style="595" customWidth="1"/>
    <col min="4866" max="4866" width="62.875" style="595" customWidth="1"/>
    <col min="4867" max="4867" width="5.50390625" style="595" customWidth="1"/>
    <col min="4868" max="4868" width="11.625" style="595" customWidth="1"/>
    <col min="4869" max="4869" width="7.875" style="595" customWidth="1"/>
    <col min="4870" max="4870" width="6.375" style="595" customWidth="1"/>
    <col min="4871" max="4871" width="6.50390625" style="595" customWidth="1"/>
    <col min="4872" max="4872" width="9.125" style="595" customWidth="1"/>
    <col min="4873" max="4873" width="13.125" style="595" customWidth="1"/>
    <col min="4874" max="4874" width="10.50390625" style="595" customWidth="1"/>
    <col min="4875" max="4875" width="12.00390625" style="595" customWidth="1"/>
    <col min="4876" max="4876" width="63.625" style="595" customWidth="1"/>
    <col min="4877" max="4877" width="7.875" style="595" customWidth="1"/>
    <col min="4878" max="4878" width="5.50390625" style="595" customWidth="1"/>
    <col min="4879" max="4879" width="9.875" style="595" customWidth="1"/>
    <col min="4880" max="4880" width="16.50390625" style="595" customWidth="1"/>
    <col min="4881" max="4881" width="14.625" style="595" bestFit="1" customWidth="1"/>
    <col min="4882" max="5120" width="9.125" style="595" customWidth="1"/>
    <col min="5121" max="5121" width="5.625" style="595" customWidth="1"/>
    <col min="5122" max="5122" width="62.875" style="595" customWidth="1"/>
    <col min="5123" max="5123" width="5.50390625" style="595" customWidth="1"/>
    <col min="5124" max="5124" width="11.625" style="595" customWidth="1"/>
    <col min="5125" max="5125" width="7.875" style="595" customWidth="1"/>
    <col min="5126" max="5126" width="6.375" style="595" customWidth="1"/>
    <col min="5127" max="5127" width="6.50390625" style="595" customWidth="1"/>
    <col min="5128" max="5128" width="9.125" style="595" customWidth="1"/>
    <col min="5129" max="5129" width="13.125" style="595" customWidth="1"/>
    <col min="5130" max="5130" width="10.50390625" style="595" customWidth="1"/>
    <col min="5131" max="5131" width="12.00390625" style="595" customWidth="1"/>
    <col min="5132" max="5132" width="63.625" style="595" customWidth="1"/>
    <col min="5133" max="5133" width="7.875" style="595" customWidth="1"/>
    <col min="5134" max="5134" width="5.50390625" style="595" customWidth="1"/>
    <col min="5135" max="5135" width="9.875" style="595" customWidth="1"/>
    <col min="5136" max="5136" width="16.50390625" style="595" customWidth="1"/>
    <col min="5137" max="5137" width="14.625" style="595" bestFit="1" customWidth="1"/>
    <col min="5138" max="5376" width="9.125" style="595" customWidth="1"/>
    <col min="5377" max="5377" width="5.625" style="595" customWidth="1"/>
    <col min="5378" max="5378" width="62.875" style="595" customWidth="1"/>
    <col min="5379" max="5379" width="5.50390625" style="595" customWidth="1"/>
    <col min="5380" max="5380" width="11.625" style="595" customWidth="1"/>
    <col min="5381" max="5381" width="7.875" style="595" customWidth="1"/>
    <col min="5382" max="5382" width="6.375" style="595" customWidth="1"/>
    <col min="5383" max="5383" width="6.50390625" style="595" customWidth="1"/>
    <col min="5384" max="5384" width="9.125" style="595" customWidth="1"/>
    <col min="5385" max="5385" width="13.125" style="595" customWidth="1"/>
    <col min="5386" max="5386" width="10.50390625" style="595" customWidth="1"/>
    <col min="5387" max="5387" width="12.00390625" style="595" customWidth="1"/>
    <col min="5388" max="5388" width="63.625" style="595" customWidth="1"/>
    <col min="5389" max="5389" width="7.875" style="595" customWidth="1"/>
    <col min="5390" max="5390" width="5.50390625" style="595" customWidth="1"/>
    <col min="5391" max="5391" width="9.875" style="595" customWidth="1"/>
    <col min="5392" max="5392" width="16.50390625" style="595" customWidth="1"/>
    <col min="5393" max="5393" width="14.625" style="595" bestFit="1" customWidth="1"/>
    <col min="5394" max="5632" width="9.125" style="595" customWidth="1"/>
    <col min="5633" max="5633" width="5.625" style="595" customWidth="1"/>
    <col min="5634" max="5634" width="62.875" style="595" customWidth="1"/>
    <col min="5635" max="5635" width="5.50390625" style="595" customWidth="1"/>
    <col min="5636" max="5636" width="11.625" style="595" customWidth="1"/>
    <col min="5637" max="5637" width="7.875" style="595" customWidth="1"/>
    <col min="5638" max="5638" width="6.375" style="595" customWidth="1"/>
    <col min="5639" max="5639" width="6.50390625" style="595" customWidth="1"/>
    <col min="5640" max="5640" width="9.125" style="595" customWidth="1"/>
    <col min="5641" max="5641" width="13.125" style="595" customWidth="1"/>
    <col min="5642" max="5642" width="10.50390625" style="595" customWidth="1"/>
    <col min="5643" max="5643" width="12.00390625" style="595" customWidth="1"/>
    <col min="5644" max="5644" width="63.625" style="595" customWidth="1"/>
    <col min="5645" max="5645" width="7.875" style="595" customWidth="1"/>
    <col min="5646" max="5646" width="5.50390625" style="595" customWidth="1"/>
    <col min="5647" max="5647" width="9.875" style="595" customWidth="1"/>
    <col min="5648" max="5648" width="16.50390625" style="595" customWidth="1"/>
    <col min="5649" max="5649" width="14.625" style="595" bestFit="1" customWidth="1"/>
    <col min="5650" max="5888" width="9.125" style="595" customWidth="1"/>
    <col min="5889" max="5889" width="5.625" style="595" customWidth="1"/>
    <col min="5890" max="5890" width="62.875" style="595" customWidth="1"/>
    <col min="5891" max="5891" width="5.50390625" style="595" customWidth="1"/>
    <col min="5892" max="5892" width="11.625" style="595" customWidth="1"/>
    <col min="5893" max="5893" width="7.875" style="595" customWidth="1"/>
    <col min="5894" max="5894" width="6.375" style="595" customWidth="1"/>
    <col min="5895" max="5895" width="6.50390625" style="595" customWidth="1"/>
    <col min="5896" max="5896" width="9.125" style="595" customWidth="1"/>
    <col min="5897" max="5897" width="13.125" style="595" customWidth="1"/>
    <col min="5898" max="5898" width="10.50390625" style="595" customWidth="1"/>
    <col min="5899" max="5899" width="12.00390625" style="595" customWidth="1"/>
    <col min="5900" max="5900" width="63.625" style="595" customWidth="1"/>
    <col min="5901" max="5901" width="7.875" style="595" customWidth="1"/>
    <col min="5902" max="5902" width="5.50390625" style="595" customWidth="1"/>
    <col min="5903" max="5903" width="9.875" style="595" customWidth="1"/>
    <col min="5904" max="5904" width="16.50390625" style="595" customWidth="1"/>
    <col min="5905" max="5905" width="14.625" style="595" bestFit="1" customWidth="1"/>
    <col min="5906" max="6144" width="9.125" style="595" customWidth="1"/>
    <col min="6145" max="6145" width="5.625" style="595" customWidth="1"/>
    <col min="6146" max="6146" width="62.875" style="595" customWidth="1"/>
    <col min="6147" max="6147" width="5.50390625" style="595" customWidth="1"/>
    <col min="6148" max="6148" width="11.625" style="595" customWidth="1"/>
    <col min="6149" max="6149" width="7.875" style="595" customWidth="1"/>
    <col min="6150" max="6150" width="6.375" style="595" customWidth="1"/>
    <col min="6151" max="6151" width="6.50390625" style="595" customWidth="1"/>
    <col min="6152" max="6152" width="9.125" style="595" customWidth="1"/>
    <col min="6153" max="6153" width="13.125" style="595" customWidth="1"/>
    <col min="6154" max="6154" width="10.50390625" style="595" customWidth="1"/>
    <col min="6155" max="6155" width="12.00390625" style="595" customWidth="1"/>
    <col min="6156" max="6156" width="63.625" style="595" customWidth="1"/>
    <col min="6157" max="6157" width="7.875" style="595" customWidth="1"/>
    <col min="6158" max="6158" width="5.50390625" style="595" customWidth="1"/>
    <col min="6159" max="6159" width="9.875" style="595" customWidth="1"/>
    <col min="6160" max="6160" width="16.50390625" style="595" customWidth="1"/>
    <col min="6161" max="6161" width="14.625" style="595" bestFit="1" customWidth="1"/>
    <col min="6162" max="6400" width="9.125" style="595" customWidth="1"/>
    <col min="6401" max="6401" width="5.625" style="595" customWidth="1"/>
    <col min="6402" max="6402" width="62.875" style="595" customWidth="1"/>
    <col min="6403" max="6403" width="5.50390625" style="595" customWidth="1"/>
    <col min="6404" max="6404" width="11.625" style="595" customWidth="1"/>
    <col min="6405" max="6405" width="7.875" style="595" customWidth="1"/>
    <col min="6406" max="6406" width="6.375" style="595" customWidth="1"/>
    <col min="6407" max="6407" width="6.50390625" style="595" customWidth="1"/>
    <col min="6408" max="6408" width="9.125" style="595" customWidth="1"/>
    <col min="6409" max="6409" width="13.125" style="595" customWidth="1"/>
    <col min="6410" max="6410" width="10.50390625" style="595" customWidth="1"/>
    <col min="6411" max="6411" width="12.00390625" style="595" customWidth="1"/>
    <col min="6412" max="6412" width="63.625" style="595" customWidth="1"/>
    <col min="6413" max="6413" width="7.875" style="595" customWidth="1"/>
    <col min="6414" max="6414" width="5.50390625" style="595" customWidth="1"/>
    <col min="6415" max="6415" width="9.875" style="595" customWidth="1"/>
    <col min="6416" max="6416" width="16.50390625" style="595" customWidth="1"/>
    <col min="6417" max="6417" width="14.625" style="595" bestFit="1" customWidth="1"/>
    <col min="6418" max="6656" width="9.125" style="595" customWidth="1"/>
    <col min="6657" max="6657" width="5.625" style="595" customWidth="1"/>
    <col min="6658" max="6658" width="62.875" style="595" customWidth="1"/>
    <col min="6659" max="6659" width="5.50390625" style="595" customWidth="1"/>
    <col min="6660" max="6660" width="11.625" style="595" customWidth="1"/>
    <col min="6661" max="6661" width="7.875" style="595" customWidth="1"/>
    <col min="6662" max="6662" width="6.375" style="595" customWidth="1"/>
    <col min="6663" max="6663" width="6.50390625" style="595" customWidth="1"/>
    <col min="6664" max="6664" width="9.125" style="595" customWidth="1"/>
    <col min="6665" max="6665" width="13.125" style="595" customWidth="1"/>
    <col min="6666" max="6666" width="10.50390625" style="595" customWidth="1"/>
    <col min="6667" max="6667" width="12.00390625" style="595" customWidth="1"/>
    <col min="6668" max="6668" width="63.625" style="595" customWidth="1"/>
    <col min="6669" max="6669" width="7.875" style="595" customWidth="1"/>
    <col min="6670" max="6670" width="5.50390625" style="595" customWidth="1"/>
    <col min="6671" max="6671" width="9.875" style="595" customWidth="1"/>
    <col min="6672" max="6672" width="16.50390625" style="595" customWidth="1"/>
    <col min="6673" max="6673" width="14.625" style="595" bestFit="1" customWidth="1"/>
    <col min="6674" max="6912" width="9.125" style="595" customWidth="1"/>
    <col min="6913" max="6913" width="5.625" style="595" customWidth="1"/>
    <col min="6914" max="6914" width="62.875" style="595" customWidth="1"/>
    <col min="6915" max="6915" width="5.50390625" style="595" customWidth="1"/>
    <col min="6916" max="6916" width="11.625" style="595" customWidth="1"/>
    <col min="6917" max="6917" width="7.875" style="595" customWidth="1"/>
    <col min="6918" max="6918" width="6.375" style="595" customWidth="1"/>
    <col min="6919" max="6919" width="6.50390625" style="595" customWidth="1"/>
    <col min="6920" max="6920" width="9.125" style="595" customWidth="1"/>
    <col min="6921" max="6921" width="13.125" style="595" customWidth="1"/>
    <col min="6922" max="6922" width="10.50390625" style="595" customWidth="1"/>
    <col min="6923" max="6923" width="12.00390625" style="595" customWidth="1"/>
    <col min="6924" max="6924" width="63.625" style="595" customWidth="1"/>
    <col min="6925" max="6925" width="7.875" style="595" customWidth="1"/>
    <col min="6926" max="6926" width="5.50390625" style="595" customWidth="1"/>
    <col min="6927" max="6927" width="9.875" style="595" customWidth="1"/>
    <col min="6928" max="6928" width="16.50390625" style="595" customWidth="1"/>
    <col min="6929" max="6929" width="14.625" style="595" bestFit="1" customWidth="1"/>
    <col min="6930" max="7168" width="9.125" style="595" customWidth="1"/>
    <col min="7169" max="7169" width="5.625" style="595" customWidth="1"/>
    <col min="7170" max="7170" width="62.875" style="595" customWidth="1"/>
    <col min="7171" max="7171" width="5.50390625" style="595" customWidth="1"/>
    <col min="7172" max="7172" width="11.625" style="595" customWidth="1"/>
    <col min="7173" max="7173" width="7.875" style="595" customWidth="1"/>
    <col min="7174" max="7174" width="6.375" style="595" customWidth="1"/>
    <col min="7175" max="7175" width="6.50390625" style="595" customWidth="1"/>
    <col min="7176" max="7176" width="9.125" style="595" customWidth="1"/>
    <col min="7177" max="7177" width="13.125" style="595" customWidth="1"/>
    <col min="7178" max="7178" width="10.50390625" style="595" customWidth="1"/>
    <col min="7179" max="7179" width="12.00390625" style="595" customWidth="1"/>
    <col min="7180" max="7180" width="63.625" style="595" customWidth="1"/>
    <col min="7181" max="7181" width="7.875" style="595" customWidth="1"/>
    <col min="7182" max="7182" width="5.50390625" style="595" customWidth="1"/>
    <col min="7183" max="7183" width="9.875" style="595" customWidth="1"/>
    <col min="7184" max="7184" width="16.50390625" style="595" customWidth="1"/>
    <col min="7185" max="7185" width="14.625" style="595" bestFit="1" customWidth="1"/>
    <col min="7186" max="7424" width="9.125" style="595" customWidth="1"/>
    <col min="7425" max="7425" width="5.625" style="595" customWidth="1"/>
    <col min="7426" max="7426" width="62.875" style="595" customWidth="1"/>
    <col min="7427" max="7427" width="5.50390625" style="595" customWidth="1"/>
    <col min="7428" max="7428" width="11.625" style="595" customWidth="1"/>
    <col min="7429" max="7429" width="7.875" style="595" customWidth="1"/>
    <col min="7430" max="7430" width="6.375" style="595" customWidth="1"/>
    <col min="7431" max="7431" width="6.50390625" style="595" customWidth="1"/>
    <col min="7432" max="7432" width="9.125" style="595" customWidth="1"/>
    <col min="7433" max="7433" width="13.125" style="595" customWidth="1"/>
    <col min="7434" max="7434" width="10.50390625" style="595" customWidth="1"/>
    <col min="7435" max="7435" width="12.00390625" style="595" customWidth="1"/>
    <col min="7436" max="7436" width="63.625" style="595" customWidth="1"/>
    <col min="7437" max="7437" width="7.875" style="595" customWidth="1"/>
    <col min="7438" max="7438" width="5.50390625" style="595" customWidth="1"/>
    <col min="7439" max="7439" width="9.875" style="595" customWidth="1"/>
    <col min="7440" max="7440" width="16.50390625" style="595" customWidth="1"/>
    <col min="7441" max="7441" width="14.625" style="595" bestFit="1" customWidth="1"/>
    <col min="7442" max="7680" width="9.125" style="595" customWidth="1"/>
    <col min="7681" max="7681" width="5.625" style="595" customWidth="1"/>
    <col min="7682" max="7682" width="62.875" style="595" customWidth="1"/>
    <col min="7683" max="7683" width="5.50390625" style="595" customWidth="1"/>
    <col min="7684" max="7684" width="11.625" style="595" customWidth="1"/>
    <col min="7685" max="7685" width="7.875" style="595" customWidth="1"/>
    <col min="7686" max="7686" width="6.375" style="595" customWidth="1"/>
    <col min="7687" max="7687" width="6.50390625" style="595" customWidth="1"/>
    <col min="7688" max="7688" width="9.125" style="595" customWidth="1"/>
    <col min="7689" max="7689" width="13.125" style="595" customWidth="1"/>
    <col min="7690" max="7690" width="10.50390625" style="595" customWidth="1"/>
    <col min="7691" max="7691" width="12.00390625" style="595" customWidth="1"/>
    <col min="7692" max="7692" width="63.625" style="595" customWidth="1"/>
    <col min="7693" max="7693" width="7.875" style="595" customWidth="1"/>
    <col min="7694" max="7694" width="5.50390625" style="595" customWidth="1"/>
    <col min="7695" max="7695" width="9.875" style="595" customWidth="1"/>
    <col min="7696" max="7696" width="16.50390625" style="595" customWidth="1"/>
    <col min="7697" max="7697" width="14.625" style="595" bestFit="1" customWidth="1"/>
    <col min="7698" max="7936" width="9.125" style="595" customWidth="1"/>
    <col min="7937" max="7937" width="5.625" style="595" customWidth="1"/>
    <col min="7938" max="7938" width="62.875" style="595" customWidth="1"/>
    <col min="7939" max="7939" width="5.50390625" style="595" customWidth="1"/>
    <col min="7940" max="7940" width="11.625" style="595" customWidth="1"/>
    <col min="7941" max="7941" width="7.875" style="595" customWidth="1"/>
    <col min="7942" max="7942" width="6.375" style="595" customWidth="1"/>
    <col min="7943" max="7943" width="6.50390625" style="595" customWidth="1"/>
    <col min="7944" max="7944" width="9.125" style="595" customWidth="1"/>
    <col min="7945" max="7945" width="13.125" style="595" customWidth="1"/>
    <col min="7946" max="7946" width="10.50390625" style="595" customWidth="1"/>
    <col min="7947" max="7947" width="12.00390625" style="595" customWidth="1"/>
    <col min="7948" max="7948" width="63.625" style="595" customWidth="1"/>
    <col min="7949" max="7949" width="7.875" style="595" customWidth="1"/>
    <col min="7950" max="7950" width="5.50390625" style="595" customWidth="1"/>
    <col min="7951" max="7951" width="9.875" style="595" customWidth="1"/>
    <col min="7952" max="7952" width="16.50390625" style="595" customWidth="1"/>
    <col min="7953" max="7953" width="14.625" style="595" bestFit="1" customWidth="1"/>
    <col min="7954" max="8192" width="9.125" style="595" customWidth="1"/>
    <col min="8193" max="8193" width="5.625" style="595" customWidth="1"/>
    <col min="8194" max="8194" width="62.875" style="595" customWidth="1"/>
    <col min="8195" max="8195" width="5.50390625" style="595" customWidth="1"/>
    <col min="8196" max="8196" width="11.625" style="595" customWidth="1"/>
    <col min="8197" max="8197" width="7.875" style="595" customWidth="1"/>
    <col min="8198" max="8198" width="6.375" style="595" customWidth="1"/>
    <col min="8199" max="8199" width="6.50390625" style="595" customWidth="1"/>
    <col min="8200" max="8200" width="9.125" style="595" customWidth="1"/>
    <col min="8201" max="8201" width="13.125" style="595" customWidth="1"/>
    <col min="8202" max="8202" width="10.50390625" style="595" customWidth="1"/>
    <col min="8203" max="8203" width="12.00390625" style="595" customWidth="1"/>
    <col min="8204" max="8204" width="63.625" style="595" customWidth="1"/>
    <col min="8205" max="8205" width="7.875" style="595" customWidth="1"/>
    <col min="8206" max="8206" width="5.50390625" style="595" customWidth="1"/>
    <col min="8207" max="8207" width="9.875" style="595" customWidth="1"/>
    <col min="8208" max="8208" width="16.50390625" style="595" customWidth="1"/>
    <col min="8209" max="8209" width="14.625" style="595" bestFit="1" customWidth="1"/>
    <col min="8210" max="8448" width="9.125" style="595" customWidth="1"/>
    <col min="8449" max="8449" width="5.625" style="595" customWidth="1"/>
    <col min="8450" max="8450" width="62.875" style="595" customWidth="1"/>
    <col min="8451" max="8451" width="5.50390625" style="595" customWidth="1"/>
    <col min="8452" max="8452" width="11.625" style="595" customWidth="1"/>
    <col min="8453" max="8453" width="7.875" style="595" customWidth="1"/>
    <col min="8454" max="8454" width="6.375" style="595" customWidth="1"/>
    <col min="8455" max="8455" width="6.50390625" style="595" customWidth="1"/>
    <col min="8456" max="8456" width="9.125" style="595" customWidth="1"/>
    <col min="8457" max="8457" width="13.125" style="595" customWidth="1"/>
    <col min="8458" max="8458" width="10.50390625" style="595" customWidth="1"/>
    <col min="8459" max="8459" width="12.00390625" style="595" customWidth="1"/>
    <col min="8460" max="8460" width="63.625" style="595" customWidth="1"/>
    <col min="8461" max="8461" width="7.875" style="595" customWidth="1"/>
    <col min="8462" max="8462" width="5.50390625" style="595" customWidth="1"/>
    <col min="8463" max="8463" width="9.875" style="595" customWidth="1"/>
    <col min="8464" max="8464" width="16.50390625" style="595" customWidth="1"/>
    <col min="8465" max="8465" width="14.625" style="595" bestFit="1" customWidth="1"/>
    <col min="8466" max="8704" width="9.125" style="595" customWidth="1"/>
    <col min="8705" max="8705" width="5.625" style="595" customWidth="1"/>
    <col min="8706" max="8706" width="62.875" style="595" customWidth="1"/>
    <col min="8707" max="8707" width="5.50390625" style="595" customWidth="1"/>
    <col min="8708" max="8708" width="11.625" style="595" customWidth="1"/>
    <col min="8709" max="8709" width="7.875" style="595" customWidth="1"/>
    <col min="8710" max="8710" width="6.375" style="595" customWidth="1"/>
    <col min="8711" max="8711" width="6.50390625" style="595" customWidth="1"/>
    <col min="8712" max="8712" width="9.125" style="595" customWidth="1"/>
    <col min="8713" max="8713" width="13.125" style="595" customWidth="1"/>
    <col min="8714" max="8714" width="10.50390625" style="595" customWidth="1"/>
    <col min="8715" max="8715" width="12.00390625" style="595" customWidth="1"/>
    <col min="8716" max="8716" width="63.625" style="595" customWidth="1"/>
    <col min="8717" max="8717" width="7.875" style="595" customWidth="1"/>
    <col min="8718" max="8718" width="5.50390625" style="595" customWidth="1"/>
    <col min="8719" max="8719" width="9.875" style="595" customWidth="1"/>
    <col min="8720" max="8720" width="16.50390625" style="595" customWidth="1"/>
    <col min="8721" max="8721" width="14.625" style="595" bestFit="1" customWidth="1"/>
    <col min="8722" max="8960" width="9.125" style="595" customWidth="1"/>
    <col min="8961" max="8961" width="5.625" style="595" customWidth="1"/>
    <col min="8962" max="8962" width="62.875" style="595" customWidth="1"/>
    <col min="8963" max="8963" width="5.50390625" style="595" customWidth="1"/>
    <col min="8964" max="8964" width="11.625" style="595" customWidth="1"/>
    <col min="8965" max="8965" width="7.875" style="595" customWidth="1"/>
    <col min="8966" max="8966" width="6.375" style="595" customWidth="1"/>
    <col min="8967" max="8967" width="6.50390625" style="595" customWidth="1"/>
    <col min="8968" max="8968" width="9.125" style="595" customWidth="1"/>
    <col min="8969" max="8969" width="13.125" style="595" customWidth="1"/>
    <col min="8970" max="8970" width="10.50390625" style="595" customWidth="1"/>
    <col min="8971" max="8971" width="12.00390625" style="595" customWidth="1"/>
    <col min="8972" max="8972" width="63.625" style="595" customWidth="1"/>
    <col min="8973" max="8973" width="7.875" style="595" customWidth="1"/>
    <col min="8974" max="8974" width="5.50390625" style="595" customWidth="1"/>
    <col min="8975" max="8975" width="9.875" style="595" customWidth="1"/>
    <col min="8976" max="8976" width="16.50390625" style="595" customWidth="1"/>
    <col min="8977" max="8977" width="14.625" style="595" bestFit="1" customWidth="1"/>
    <col min="8978" max="9216" width="9.125" style="595" customWidth="1"/>
    <col min="9217" max="9217" width="5.625" style="595" customWidth="1"/>
    <col min="9218" max="9218" width="62.875" style="595" customWidth="1"/>
    <col min="9219" max="9219" width="5.50390625" style="595" customWidth="1"/>
    <col min="9220" max="9220" width="11.625" style="595" customWidth="1"/>
    <col min="9221" max="9221" width="7.875" style="595" customWidth="1"/>
    <col min="9222" max="9222" width="6.375" style="595" customWidth="1"/>
    <col min="9223" max="9223" width="6.50390625" style="595" customWidth="1"/>
    <col min="9224" max="9224" width="9.125" style="595" customWidth="1"/>
    <col min="9225" max="9225" width="13.125" style="595" customWidth="1"/>
    <col min="9226" max="9226" width="10.50390625" style="595" customWidth="1"/>
    <col min="9227" max="9227" width="12.00390625" style="595" customWidth="1"/>
    <col min="9228" max="9228" width="63.625" style="595" customWidth="1"/>
    <col min="9229" max="9229" width="7.875" style="595" customWidth="1"/>
    <col min="9230" max="9230" width="5.50390625" style="595" customWidth="1"/>
    <col min="9231" max="9231" width="9.875" style="595" customWidth="1"/>
    <col min="9232" max="9232" width="16.50390625" style="595" customWidth="1"/>
    <col min="9233" max="9233" width="14.625" style="595" bestFit="1" customWidth="1"/>
    <col min="9234" max="9472" width="9.125" style="595" customWidth="1"/>
    <col min="9473" max="9473" width="5.625" style="595" customWidth="1"/>
    <col min="9474" max="9474" width="62.875" style="595" customWidth="1"/>
    <col min="9475" max="9475" width="5.50390625" style="595" customWidth="1"/>
    <col min="9476" max="9476" width="11.625" style="595" customWidth="1"/>
    <col min="9477" max="9477" width="7.875" style="595" customWidth="1"/>
    <col min="9478" max="9478" width="6.375" style="595" customWidth="1"/>
    <col min="9479" max="9479" width="6.50390625" style="595" customWidth="1"/>
    <col min="9480" max="9480" width="9.125" style="595" customWidth="1"/>
    <col min="9481" max="9481" width="13.125" style="595" customWidth="1"/>
    <col min="9482" max="9482" width="10.50390625" style="595" customWidth="1"/>
    <col min="9483" max="9483" width="12.00390625" style="595" customWidth="1"/>
    <col min="9484" max="9484" width="63.625" style="595" customWidth="1"/>
    <col min="9485" max="9485" width="7.875" style="595" customWidth="1"/>
    <col min="9486" max="9486" width="5.50390625" style="595" customWidth="1"/>
    <col min="9487" max="9487" width="9.875" style="595" customWidth="1"/>
    <col min="9488" max="9488" width="16.50390625" style="595" customWidth="1"/>
    <col min="9489" max="9489" width="14.625" style="595" bestFit="1" customWidth="1"/>
    <col min="9490" max="9728" width="9.125" style="595" customWidth="1"/>
    <col min="9729" max="9729" width="5.625" style="595" customWidth="1"/>
    <col min="9730" max="9730" width="62.875" style="595" customWidth="1"/>
    <col min="9731" max="9731" width="5.50390625" style="595" customWidth="1"/>
    <col min="9732" max="9732" width="11.625" style="595" customWidth="1"/>
    <col min="9733" max="9733" width="7.875" style="595" customWidth="1"/>
    <col min="9734" max="9734" width="6.375" style="595" customWidth="1"/>
    <col min="9735" max="9735" width="6.50390625" style="595" customWidth="1"/>
    <col min="9736" max="9736" width="9.125" style="595" customWidth="1"/>
    <col min="9737" max="9737" width="13.125" style="595" customWidth="1"/>
    <col min="9738" max="9738" width="10.50390625" style="595" customWidth="1"/>
    <col min="9739" max="9739" width="12.00390625" style="595" customWidth="1"/>
    <col min="9740" max="9740" width="63.625" style="595" customWidth="1"/>
    <col min="9741" max="9741" width="7.875" style="595" customWidth="1"/>
    <col min="9742" max="9742" width="5.50390625" style="595" customWidth="1"/>
    <col min="9743" max="9743" width="9.875" style="595" customWidth="1"/>
    <col min="9744" max="9744" width="16.50390625" style="595" customWidth="1"/>
    <col min="9745" max="9745" width="14.625" style="595" bestFit="1" customWidth="1"/>
    <col min="9746" max="9984" width="9.125" style="595" customWidth="1"/>
    <col min="9985" max="9985" width="5.625" style="595" customWidth="1"/>
    <col min="9986" max="9986" width="62.875" style="595" customWidth="1"/>
    <col min="9987" max="9987" width="5.50390625" style="595" customWidth="1"/>
    <col min="9988" max="9988" width="11.625" style="595" customWidth="1"/>
    <col min="9989" max="9989" width="7.875" style="595" customWidth="1"/>
    <col min="9990" max="9990" width="6.375" style="595" customWidth="1"/>
    <col min="9991" max="9991" width="6.50390625" style="595" customWidth="1"/>
    <col min="9992" max="9992" width="9.125" style="595" customWidth="1"/>
    <col min="9993" max="9993" width="13.125" style="595" customWidth="1"/>
    <col min="9994" max="9994" width="10.50390625" style="595" customWidth="1"/>
    <col min="9995" max="9995" width="12.00390625" style="595" customWidth="1"/>
    <col min="9996" max="9996" width="63.625" style="595" customWidth="1"/>
    <col min="9997" max="9997" width="7.875" style="595" customWidth="1"/>
    <col min="9998" max="9998" width="5.50390625" style="595" customWidth="1"/>
    <col min="9999" max="9999" width="9.875" style="595" customWidth="1"/>
    <col min="10000" max="10000" width="16.50390625" style="595" customWidth="1"/>
    <col min="10001" max="10001" width="14.625" style="595" bestFit="1" customWidth="1"/>
    <col min="10002" max="10240" width="9.125" style="595" customWidth="1"/>
    <col min="10241" max="10241" width="5.625" style="595" customWidth="1"/>
    <col min="10242" max="10242" width="62.875" style="595" customWidth="1"/>
    <col min="10243" max="10243" width="5.50390625" style="595" customWidth="1"/>
    <col min="10244" max="10244" width="11.625" style="595" customWidth="1"/>
    <col min="10245" max="10245" width="7.875" style="595" customWidth="1"/>
    <col min="10246" max="10246" width="6.375" style="595" customWidth="1"/>
    <col min="10247" max="10247" width="6.50390625" style="595" customWidth="1"/>
    <col min="10248" max="10248" width="9.125" style="595" customWidth="1"/>
    <col min="10249" max="10249" width="13.125" style="595" customWidth="1"/>
    <col min="10250" max="10250" width="10.50390625" style="595" customWidth="1"/>
    <col min="10251" max="10251" width="12.00390625" style="595" customWidth="1"/>
    <col min="10252" max="10252" width="63.625" style="595" customWidth="1"/>
    <col min="10253" max="10253" width="7.875" style="595" customWidth="1"/>
    <col min="10254" max="10254" width="5.50390625" style="595" customWidth="1"/>
    <col min="10255" max="10255" width="9.875" style="595" customWidth="1"/>
    <col min="10256" max="10256" width="16.50390625" style="595" customWidth="1"/>
    <col min="10257" max="10257" width="14.625" style="595" bestFit="1" customWidth="1"/>
    <col min="10258" max="10496" width="9.125" style="595" customWidth="1"/>
    <col min="10497" max="10497" width="5.625" style="595" customWidth="1"/>
    <col min="10498" max="10498" width="62.875" style="595" customWidth="1"/>
    <col min="10499" max="10499" width="5.50390625" style="595" customWidth="1"/>
    <col min="10500" max="10500" width="11.625" style="595" customWidth="1"/>
    <col min="10501" max="10501" width="7.875" style="595" customWidth="1"/>
    <col min="10502" max="10502" width="6.375" style="595" customWidth="1"/>
    <col min="10503" max="10503" width="6.50390625" style="595" customWidth="1"/>
    <col min="10504" max="10504" width="9.125" style="595" customWidth="1"/>
    <col min="10505" max="10505" width="13.125" style="595" customWidth="1"/>
    <col min="10506" max="10506" width="10.50390625" style="595" customWidth="1"/>
    <col min="10507" max="10507" width="12.00390625" style="595" customWidth="1"/>
    <col min="10508" max="10508" width="63.625" style="595" customWidth="1"/>
    <col min="10509" max="10509" width="7.875" style="595" customWidth="1"/>
    <col min="10510" max="10510" width="5.50390625" style="595" customWidth="1"/>
    <col min="10511" max="10511" width="9.875" style="595" customWidth="1"/>
    <col min="10512" max="10512" width="16.50390625" style="595" customWidth="1"/>
    <col min="10513" max="10513" width="14.625" style="595" bestFit="1" customWidth="1"/>
    <col min="10514" max="10752" width="9.125" style="595" customWidth="1"/>
    <col min="10753" max="10753" width="5.625" style="595" customWidth="1"/>
    <col min="10754" max="10754" width="62.875" style="595" customWidth="1"/>
    <col min="10755" max="10755" width="5.50390625" style="595" customWidth="1"/>
    <col min="10756" max="10756" width="11.625" style="595" customWidth="1"/>
    <col min="10757" max="10757" width="7.875" style="595" customWidth="1"/>
    <col min="10758" max="10758" width="6.375" style="595" customWidth="1"/>
    <col min="10759" max="10759" width="6.50390625" style="595" customWidth="1"/>
    <col min="10760" max="10760" width="9.125" style="595" customWidth="1"/>
    <col min="10761" max="10761" width="13.125" style="595" customWidth="1"/>
    <col min="10762" max="10762" width="10.50390625" style="595" customWidth="1"/>
    <col min="10763" max="10763" width="12.00390625" style="595" customWidth="1"/>
    <col min="10764" max="10764" width="63.625" style="595" customWidth="1"/>
    <col min="10765" max="10765" width="7.875" style="595" customWidth="1"/>
    <col min="10766" max="10766" width="5.50390625" style="595" customWidth="1"/>
    <col min="10767" max="10767" width="9.875" style="595" customWidth="1"/>
    <col min="10768" max="10768" width="16.50390625" style="595" customWidth="1"/>
    <col min="10769" max="10769" width="14.625" style="595" bestFit="1" customWidth="1"/>
    <col min="10770" max="11008" width="9.125" style="595" customWidth="1"/>
    <col min="11009" max="11009" width="5.625" style="595" customWidth="1"/>
    <col min="11010" max="11010" width="62.875" style="595" customWidth="1"/>
    <col min="11011" max="11011" width="5.50390625" style="595" customWidth="1"/>
    <col min="11012" max="11012" width="11.625" style="595" customWidth="1"/>
    <col min="11013" max="11013" width="7.875" style="595" customWidth="1"/>
    <col min="11014" max="11014" width="6.375" style="595" customWidth="1"/>
    <col min="11015" max="11015" width="6.50390625" style="595" customWidth="1"/>
    <col min="11016" max="11016" width="9.125" style="595" customWidth="1"/>
    <col min="11017" max="11017" width="13.125" style="595" customWidth="1"/>
    <col min="11018" max="11018" width="10.50390625" style="595" customWidth="1"/>
    <col min="11019" max="11019" width="12.00390625" style="595" customWidth="1"/>
    <col min="11020" max="11020" width="63.625" style="595" customWidth="1"/>
    <col min="11021" max="11021" width="7.875" style="595" customWidth="1"/>
    <col min="11022" max="11022" width="5.50390625" style="595" customWidth="1"/>
    <col min="11023" max="11023" width="9.875" style="595" customWidth="1"/>
    <col min="11024" max="11024" width="16.50390625" style="595" customWidth="1"/>
    <col min="11025" max="11025" width="14.625" style="595" bestFit="1" customWidth="1"/>
    <col min="11026" max="11264" width="9.125" style="595" customWidth="1"/>
    <col min="11265" max="11265" width="5.625" style="595" customWidth="1"/>
    <col min="11266" max="11266" width="62.875" style="595" customWidth="1"/>
    <col min="11267" max="11267" width="5.50390625" style="595" customWidth="1"/>
    <col min="11268" max="11268" width="11.625" style="595" customWidth="1"/>
    <col min="11269" max="11269" width="7.875" style="595" customWidth="1"/>
    <col min="11270" max="11270" width="6.375" style="595" customWidth="1"/>
    <col min="11271" max="11271" width="6.50390625" style="595" customWidth="1"/>
    <col min="11272" max="11272" width="9.125" style="595" customWidth="1"/>
    <col min="11273" max="11273" width="13.125" style="595" customWidth="1"/>
    <col min="11274" max="11274" width="10.50390625" style="595" customWidth="1"/>
    <col min="11275" max="11275" width="12.00390625" style="595" customWidth="1"/>
    <col min="11276" max="11276" width="63.625" style="595" customWidth="1"/>
    <col min="11277" max="11277" width="7.875" style="595" customWidth="1"/>
    <col min="11278" max="11278" width="5.50390625" style="595" customWidth="1"/>
    <col min="11279" max="11279" width="9.875" style="595" customWidth="1"/>
    <col min="11280" max="11280" width="16.50390625" style="595" customWidth="1"/>
    <col min="11281" max="11281" width="14.625" style="595" bestFit="1" customWidth="1"/>
    <col min="11282" max="11520" width="9.125" style="595" customWidth="1"/>
    <col min="11521" max="11521" width="5.625" style="595" customWidth="1"/>
    <col min="11522" max="11522" width="62.875" style="595" customWidth="1"/>
    <col min="11523" max="11523" width="5.50390625" style="595" customWidth="1"/>
    <col min="11524" max="11524" width="11.625" style="595" customWidth="1"/>
    <col min="11525" max="11525" width="7.875" style="595" customWidth="1"/>
    <col min="11526" max="11526" width="6.375" style="595" customWidth="1"/>
    <col min="11527" max="11527" width="6.50390625" style="595" customWidth="1"/>
    <col min="11528" max="11528" width="9.125" style="595" customWidth="1"/>
    <col min="11529" max="11529" width="13.125" style="595" customWidth="1"/>
    <col min="11530" max="11530" width="10.50390625" style="595" customWidth="1"/>
    <col min="11531" max="11531" width="12.00390625" style="595" customWidth="1"/>
    <col min="11532" max="11532" width="63.625" style="595" customWidth="1"/>
    <col min="11533" max="11533" width="7.875" style="595" customWidth="1"/>
    <col min="11534" max="11534" width="5.50390625" style="595" customWidth="1"/>
    <col min="11535" max="11535" width="9.875" style="595" customWidth="1"/>
    <col min="11536" max="11536" width="16.50390625" style="595" customWidth="1"/>
    <col min="11537" max="11537" width="14.625" style="595" bestFit="1" customWidth="1"/>
    <col min="11538" max="11776" width="9.125" style="595" customWidth="1"/>
    <col min="11777" max="11777" width="5.625" style="595" customWidth="1"/>
    <col min="11778" max="11778" width="62.875" style="595" customWidth="1"/>
    <col min="11779" max="11779" width="5.50390625" style="595" customWidth="1"/>
    <col min="11780" max="11780" width="11.625" style="595" customWidth="1"/>
    <col min="11781" max="11781" width="7.875" style="595" customWidth="1"/>
    <col min="11782" max="11782" width="6.375" style="595" customWidth="1"/>
    <col min="11783" max="11783" width="6.50390625" style="595" customWidth="1"/>
    <col min="11784" max="11784" width="9.125" style="595" customWidth="1"/>
    <col min="11785" max="11785" width="13.125" style="595" customWidth="1"/>
    <col min="11786" max="11786" width="10.50390625" style="595" customWidth="1"/>
    <col min="11787" max="11787" width="12.00390625" style="595" customWidth="1"/>
    <col min="11788" max="11788" width="63.625" style="595" customWidth="1"/>
    <col min="11789" max="11789" width="7.875" style="595" customWidth="1"/>
    <col min="11790" max="11790" width="5.50390625" style="595" customWidth="1"/>
    <col min="11791" max="11791" width="9.875" style="595" customWidth="1"/>
    <col min="11792" max="11792" width="16.50390625" style="595" customWidth="1"/>
    <col min="11793" max="11793" width="14.625" style="595" bestFit="1" customWidth="1"/>
    <col min="11794" max="12032" width="9.125" style="595" customWidth="1"/>
    <col min="12033" max="12033" width="5.625" style="595" customWidth="1"/>
    <col min="12034" max="12034" width="62.875" style="595" customWidth="1"/>
    <col min="12035" max="12035" width="5.50390625" style="595" customWidth="1"/>
    <col min="12036" max="12036" width="11.625" style="595" customWidth="1"/>
    <col min="12037" max="12037" width="7.875" style="595" customWidth="1"/>
    <col min="12038" max="12038" width="6.375" style="595" customWidth="1"/>
    <col min="12039" max="12039" width="6.50390625" style="595" customWidth="1"/>
    <col min="12040" max="12040" width="9.125" style="595" customWidth="1"/>
    <col min="12041" max="12041" width="13.125" style="595" customWidth="1"/>
    <col min="12042" max="12042" width="10.50390625" style="595" customWidth="1"/>
    <col min="12043" max="12043" width="12.00390625" style="595" customWidth="1"/>
    <col min="12044" max="12044" width="63.625" style="595" customWidth="1"/>
    <col min="12045" max="12045" width="7.875" style="595" customWidth="1"/>
    <col min="12046" max="12046" width="5.50390625" style="595" customWidth="1"/>
    <col min="12047" max="12047" width="9.875" style="595" customWidth="1"/>
    <col min="12048" max="12048" width="16.50390625" style="595" customWidth="1"/>
    <col min="12049" max="12049" width="14.625" style="595" bestFit="1" customWidth="1"/>
    <col min="12050" max="12288" width="9.125" style="595" customWidth="1"/>
    <col min="12289" max="12289" width="5.625" style="595" customWidth="1"/>
    <col min="12290" max="12290" width="62.875" style="595" customWidth="1"/>
    <col min="12291" max="12291" width="5.50390625" style="595" customWidth="1"/>
    <col min="12292" max="12292" width="11.625" style="595" customWidth="1"/>
    <col min="12293" max="12293" width="7.875" style="595" customWidth="1"/>
    <col min="12294" max="12294" width="6.375" style="595" customWidth="1"/>
    <col min="12295" max="12295" width="6.50390625" style="595" customWidth="1"/>
    <col min="12296" max="12296" width="9.125" style="595" customWidth="1"/>
    <col min="12297" max="12297" width="13.125" style="595" customWidth="1"/>
    <col min="12298" max="12298" width="10.50390625" style="595" customWidth="1"/>
    <col min="12299" max="12299" width="12.00390625" style="595" customWidth="1"/>
    <col min="12300" max="12300" width="63.625" style="595" customWidth="1"/>
    <col min="12301" max="12301" width="7.875" style="595" customWidth="1"/>
    <col min="12302" max="12302" width="5.50390625" style="595" customWidth="1"/>
    <col min="12303" max="12303" width="9.875" style="595" customWidth="1"/>
    <col min="12304" max="12304" width="16.50390625" style="595" customWidth="1"/>
    <col min="12305" max="12305" width="14.625" style="595" bestFit="1" customWidth="1"/>
    <col min="12306" max="12544" width="9.125" style="595" customWidth="1"/>
    <col min="12545" max="12545" width="5.625" style="595" customWidth="1"/>
    <col min="12546" max="12546" width="62.875" style="595" customWidth="1"/>
    <col min="12547" max="12547" width="5.50390625" style="595" customWidth="1"/>
    <col min="12548" max="12548" width="11.625" style="595" customWidth="1"/>
    <col min="12549" max="12549" width="7.875" style="595" customWidth="1"/>
    <col min="12550" max="12550" width="6.375" style="595" customWidth="1"/>
    <col min="12551" max="12551" width="6.50390625" style="595" customWidth="1"/>
    <col min="12552" max="12552" width="9.125" style="595" customWidth="1"/>
    <col min="12553" max="12553" width="13.125" style="595" customWidth="1"/>
    <col min="12554" max="12554" width="10.50390625" style="595" customWidth="1"/>
    <col min="12555" max="12555" width="12.00390625" style="595" customWidth="1"/>
    <col min="12556" max="12556" width="63.625" style="595" customWidth="1"/>
    <col min="12557" max="12557" width="7.875" style="595" customWidth="1"/>
    <col min="12558" max="12558" width="5.50390625" style="595" customWidth="1"/>
    <col min="12559" max="12559" width="9.875" style="595" customWidth="1"/>
    <col min="12560" max="12560" width="16.50390625" style="595" customWidth="1"/>
    <col min="12561" max="12561" width="14.625" style="595" bestFit="1" customWidth="1"/>
    <col min="12562" max="12800" width="9.125" style="595" customWidth="1"/>
    <col min="12801" max="12801" width="5.625" style="595" customWidth="1"/>
    <col min="12802" max="12802" width="62.875" style="595" customWidth="1"/>
    <col min="12803" max="12803" width="5.50390625" style="595" customWidth="1"/>
    <col min="12804" max="12804" width="11.625" style="595" customWidth="1"/>
    <col min="12805" max="12805" width="7.875" style="595" customWidth="1"/>
    <col min="12806" max="12806" width="6.375" style="595" customWidth="1"/>
    <col min="12807" max="12807" width="6.50390625" style="595" customWidth="1"/>
    <col min="12808" max="12808" width="9.125" style="595" customWidth="1"/>
    <col min="12809" max="12809" width="13.125" style="595" customWidth="1"/>
    <col min="12810" max="12810" width="10.50390625" style="595" customWidth="1"/>
    <col min="12811" max="12811" width="12.00390625" style="595" customWidth="1"/>
    <col min="12812" max="12812" width="63.625" style="595" customWidth="1"/>
    <col min="12813" max="12813" width="7.875" style="595" customWidth="1"/>
    <col min="12814" max="12814" width="5.50390625" style="595" customWidth="1"/>
    <col min="12815" max="12815" width="9.875" style="595" customWidth="1"/>
    <col min="12816" max="12816" width="16.50390625" style="595" customWidth="1"/>
    <col min="12817" max="12817" width="14.625" style="595" bestFit="1" customWidth="1"/>
    <col min="12818" max="13056" width="9.125" style="595" customWidth="1"/>
    <col min="13057" max="13057" width="5.625" style="595" customWidth="1"/>
    <col min="13058" max="13058" width="62.875" style="595" customWidth="1"/>
    <col min="13059" max="13059" width="5.50390625" style="595" customWidth="1"/>
    <col min="13060" max="13060" width="11.625" style="595" customWidth="1"/>
    <col min="13061" max="13061" width="7.875" style="595" customWidth="1"/>
    <col min="13062" max="13062" width="6.375" style="595" customWidth="1"/>
    <col min="13063" max="13063" width="6.50390625" style="595" customWidth="1"/>
    <col min="13064" max="13064" width="9.125" style="595" customWidth="1"/>
    <col min="13065" max="13065" width="13.125" style="595" customWidth="1"/>
    <col min="13066" max="13066" width="10.50390625" style="595" customWidth="1"/>
    <col min="13067" max="13067" width="12.00390625" style="595" customWidth="1"/>
    <col min="13068" max="13068" width="63.625" style="595" customWidth="1"/>
    <col min="13069" max="13069" width="7.875" style="595" customWidth="1"/>
    <col min="13070" max="13070" width="5.50390625" style="595" customWidth="1"/>
    <col min="13071" max="13071" width="9.875" style="595" customWidth="1"/>
    <col min="13072" max="13072" width="16.50390625" style="595" customWidth="1"/>
    <col min="13073" max="13073" width="14.625" style="595" bestFit="1" customWidth="1"/>
    <col min="13074" max="13312" width="9.125" style="595" customWidth="1"/>
    <col min="13313" max="13313" width="5.625" style="595" customWidth="1"/>
    <col min="13314" max="13314" width="62.875" style="595" customWidth="1"/>
    <col min="13315" max="13315" width="5.50390625" style="595" customWidth="1"/>
    <col min="13316" max="13316" width="11.625" style="595" customWidth="1"/>
    <col min="13317" max="13317" width="7.875" style="595" customWidth="1"/>
    <col min="13318" max="13318" width="6.375" style="595" customWidth="1"/>
    <col min="13319" max="13319" width="6.50390625" style="595" customWidth="1"/>
    <col min="13320" max="13320" width="9.125" style="595" customWidth="1"/>
    <col min="13321" max="13321" width="13.125" style="595" customWidth="1"/>
    <col min="13322" max="13322" width="10.50390625" style="595" customWidth="1"/>
    <col min="13323" max="13323" width="12.00390625" style="595" customWidth="1"/>
    <col min="13324" max="13324" width="63.625" style="595" customWidth="1"/>
    <col min="13325" max="13325" width="7.875" style="595" customWidth="1"/>
    <col min="13326" max="13326" width="5.50390625" style="595" customWidth="1"/>
    <col min="13327" max="13327" width="9.875" style="595" customWidth="1"/>
    <col min="13328" max="13328" width="16.50390625" style="595" customWidth="1"/>
    <col min="13329" max="13329" width="14.625" style="595" bestFit="1" customWidth="1"/>
    <col min="13330" max="13568" width="9.125" style="595" customWidth="1"/>
    <col min="13569" max="13569" width="5.625" style="595" customWidth="1"/>
    <col min="13570" max="13570" width="62.875" style="595" customWidth="1"/>
    <col min="13571" max="13571" width="5.50390625" style="595" customWidth="1"/>
    <col min="13572" max="13572" width="11.625" style="595" customWidth="1"/>
    <col min="13573" max="13573" width="7.875" style="595" customWidth="1"/>
    <col min="13574" max="13574" width="6.375" style="595" customWidth="1"/>
    <col min="13575" max="13575" width="6.50390625" style="595" customWidth="1"/>
    <col min="13576" max="13576" width="9.125" style="595" customWidth="1"/>
    <col min="13577" max="13577" width="13.125" style="595" customWidth="1"/>
    <col min="13578" max="13578" width="10.50390625" style="595" customWidth="1"/>
    <col min="13579" max="13579" width="12.00390625" style="595" customWidth="1"/>
    <col min="13580" max="13580" width="63.625" style="595" customWidth="1"/>
    <col min="13581" max="13581" width="7.875" style="595" customWidth="1"/>
    <col min="13582" max="13582" width="5.50390625" style="595" customWidth="1"/>
    <col min="13583" max="13583" width="9.875" style="595" customWidth="1"/>
    <col min="13584" max="13584" width="16.50390625" style="595" customWidth="1"/>
    <col min="13585" max="13585" width="14.625" style="595" bestFit="1" customWidth="1"/>
    <col min="13586" max="13824" width="9.125" style="595" customWidth="1"/>
    <col min="13825" max="13825" width="5.625" style="595" customWidth="1"/>
    <col min="13826" max="13826" width="62.875" style="595" customWidth="1"/>
    <col min="13827" max="13827" width="5.50390625" style="595" customWidth="1"/>
    <col min="13828" max="13828" width="11.625" style="595" customWidth="1"/>
    <col min="13829" max="13829" width="7.875" style="595" customWidth="1"/>
    <col min="13830" max="13830" width="6.375" style="595" customWidth="1"/>
    <col min="13831" max="13831" width="6.50390625" style="595" customWidth="1"/>
    <col min="13832" max="13832" width="9.125" style="595" customWidth="1"/>
    <col min="13833" max="13833" width="13.125" style="595" customWidth="1"/>
    <col min="13834" max="13834" width="10.50390625" style="595" customWidth="1"/>
    <col min="13835" max="13835" width="12.00390625" style="595" customWidth="1"/>
    <col min="13836" max="13836" width="63.625" style="595" customWidth="1"/>
    <col min="13837" max="13837" width="7.875" style="595" customWidth="1"/>
    <col min="13838" max="13838" width="5.50390625" style="595" customWidth="1"/>
    <col min="13839" max="13839" width="9.875" style="595" customWidth="1"/>
    <col min="13840" max="13840" width="16.50390625" style="595" customWidth="1"/>
    <col min="13841" max="13841" width="14.625" style="595" bestFit="1" customWidth="1"/>
    <col min="13842" max="14080" width="9.125" style="595" customWidth="1"/>
    <col min="14081" max="14081" width="5.625" style="595" customWidth="1"/>
    <col min="14082" max="14082" width="62.875" style="595" customWidth="1"/>
    <col min="14083" max="14083" width="5.50390625" style="595" customWidth="1"/>
    <col min="14084" max="14084" width="11.625" style="595" customWidth="1"/>
    <col min="14085" max="14085" width="7.875" style="595" customWidth="1"/>
    <col min="14086" max="14086" width="6.375" style="595" customWidth="1"/>
    <col min="14087" max="14087" width="6.50390625" style="595" customWidth="1"/>
    <col min="14088" max="14088" width="9.125" style="595" customWidth="1"/>
    <col min="14089" max="14089" width="13.125" style="595" customWidth="1"/>
    <col min="14090" max="14090" width="10.50390625" style="595" customWidth="1"/>
    <col min="14091" max="14091" width="12.00390625" style="595" customWidth="1"/>
    <col min="14092" max="14092" width="63.625" style="595" customWidth="1"/>
    <col min="14093" max="14093" width="7.875" style="595" customWidth="1"/>
    <col min="14094" max="14094" width="5.50390625" style="595" customWidth="1"/>
    <col min="14095" max="14095" width="9.875" style="595" customWidth="1"/>
    <col min="14096" max="14096" width="16.50390625" style="595" customWidth="1"/>
    <col min="14097" max="14097" width="14.625" style="595" bestFit="1" customWidth="1"/>
    <col min="14098" max="14336" width="9.125" style="595" customWidth="1"/>
    <col min="14337" max="14337" width="5.625" style="595" customWidth="1"/>
    <col min="14338" max="14338" width="62.875" style="595" customWidth="1"/>
    <col min="14339" max="14339" width="5.50390625" style="595" customWidth="1"/>
    <col min="14340" max="14340" width="11.625" style="595" customWidth="1"/>
    <col min="14341" max="14341" width="7.875" style="595" customWidth="1"/>
    <col min="14342" max="14342" width="6.375" style="595" customWidth="1"/>
    <col min="14343" max="14343" width="6.50390625" style="595" customWidth="1"/>
    <col min="14344" max="14344" width="9.125" style="595" customWidth="1"/>
    <col min="14345" max="14345" width="13.125" style="595" customWidth="1"/>
    <col min="14346" max="14346" width="10.50390625" style="595" customWidth="1"/>
    <col min="14347" max="14347" width="12.00390625" style="595" customWidth="1"/>
    <col min="14348" max="14348" width="63.625" style="595" customWidth="1"/>
    <col min="14349" max="14349" width="7.875" style="595" customWidth="1"/>
    <col min="14350" max="14350" width="5.50390625" style="595" customWidth="1"/>
    <col min="14351" max="14351" width="9.875" style="595" customWidth="1"/>
    <col min="14352" max="14352" width="16.50390625" style="595" customWidth="1"/>
    <col min="14353" max="14353" width="14.625" style="595" bestFit="1" customWidth="1"/>
    <col min="14354" max="14592" width="9.125" style="595" customWidth="1"/>
    <col min="14593" max="14593" width="5.625" style="595" customWidth="1"/>
    <col min="14594" max="14594" width="62.875" style="595" customWidth="1"/>
    <col min="14595" max="14595" width="5.50390625" style="595" customWidth="1"/>
    <col min="14596" max="14596" width="11.625" style="595" customWidth="1"/>
    <col min="14597" max="14597" width="7.875" style="595" customWidth="1"/>
    <col min="14598" max="14598" width="6.375" style="595" customWidth="1"/>
    <col min="14599" max="14599" width="6.50390625" style="595" customWidth="1"/>
    <col min="14600" max="14600" width="9.125" style="595" customWidth="1"/>
    <col min="14601" max="14601" width="13.125" style="595" customWidth="1"/>
    <col min="14602" max="14602" width="10.50390625" style="595" customWidth="1"/>
    <col min="14603" max="14603" width="12.00390625" style="595" customWidth="1"/>
    <col min="14604" max="14604" width="63.625" style="595" customWidth="1"/>
    <col min="14605" max="14605" width="7.875" style="595" customWidth="1"/>
    <col min="14606" max="14606" width="5.50390625" style="595" customWidth="1"/>
    <col min="14607" max="14607" width="9.875" style="595" customWidth="1"/>
    <col min="14608" max="14608" width="16.50390625" style="595" customWidth="1"/>
    <col min="14609" max="14609" width="14.625" style="595" bestFit="1" customWidth="1"/>
    <col min="14610" max="14848" width="9.125" style="595" customWidth="1"/>
    <col min="14849" max="14849" width="5.625" style="595" customWidth="1"/>
    <col min="14850" max="14850" width="62.875" style="595" customWidth="1"/>
    <col min="14851" max="14851" width="5.50390625" style="595" customWidth="1"/>
    <col min="14852" max="14852" width="11.625" style="595" customWidth="1"/>
    <col min="14853" max="14853" width="7.875" style="595" customWidth="1"/>
    <col min="14854" max="14854" width="6.375" style="595" customWidth="1"/>
    <col min="14855" max="14855" width="6.50390625" style="595" customWidth="1"/>
    <col min="14856" max="14856" width="9.125" style="595" customWidth="1"/>
    <col min="14857" max="14857" width="13.125" style="595" customWidth="1"/>
    <col min="14858" max="14858" width="10.50390625" style="595" customWidth="1"/>
    <col min="14859" max="14859" width="12.00390625" style="595" customWidth="1"/>
    <col min="14860" max="14860" width="63.625" style="595" customWidth="1"/>
    <col min="14861" max="14861" width="7.875" style="595" customWidth="1"/>
    <col min="14862" max="14862" width="5.50390625" style="595" customWidth="1"/>
    <col min="14863" max="14863" width="9.875" style="595" customWidth="1"/>
    <col min="14864" max="14864" width="16.50390625" style="595" customWidth="1"/>
    <col min="14865" max="14865" width="14.625" style="595" bestFit="1" customWidth="1"/>
    <col min="14866" max="15104" width="9.125" style="595" customWidth="1"/>
    <col min="15105" max="15105" width="5.625" style="595" customWidth="1"/>
    <col min="15106" max="15106" width="62.875" style="595" customWidth="1"/>
    <col min="15107" max="15107" width="5.50390625" style="595" customWidth="1"/>
    <col min="15108" max="15108" width="11.625" style="595" customWidth="1"/>
    <col min="15109" max="15109" width="7.875" style="595" customWidth="1"/>
    <col min="15110" max="15110" width="6.375" style="595" customWidth="1"/>
    <col min="15111" max="15111" width="6.50390625" style="595" customWidth="1"/>
    <col min="15112" max="15112" width="9.125" style="595" customWidth="1"/>
    <col min="15113" max="15113" width="13.125" style="595" customWidth="1"/>
    <col min="15114" max="15114" width="10.50390625" style="595" customWidth="1"/>
    <col min="15115" max="15115" width="12.00390625" style="595" customWidth="1"/>
    <col min="15116" max="15116" width="63.625" style="595" customWidth="1"/>
    <col min="15117" max="15117" width="7.875" style="595" customWidth="1"/>
    <col min="15118" max="15118" width="5.50390625" style="595" customWidth="1"/>
    <col min="15119" max="15119" width="9.875" style="595" customWidth="1"/>
    <col min="15120" max="15120" width="16.50390625" style="595" customWidth="1"/>
    <col min="15121" max="15121" width="14.625" style="595" bestFit="1" customWidth="1"/>
    <col min="15122" max="15360" width="9.125" style="595" customWidth="1"/>
    <col min="15361" max="15361" width="5.625" style="595" customWidth="1"/>
    <col min="15362" max="15362" width="62.875" style="595" customWidth="1"/>
    <col min="15363" max="15363" width="5.50390625" style="595" customWidth="1"/>
    <col min="15364" max="15364" width="11.625" style="595" customWidth="1"/>
    <col min="15365" max="15365" width="7.875" style="595" customWidth="1"/>
    <col min="15366" max="15366" width="6.375" style="595" customWidth="1"/>
    <col min="15367" max="15367" width="6.50390625" style="595" customWidth="1"/>
    <col min="15368" max="15368" width="9.125" style="595" customWidth="1"/>
    <col min="15369" max="15369" width="13.125" style="595" customWidth="1"/>
    <col min="15370" max="15370" width="10.50390625" style="595" customWidth="1"/>
    <col min="15371" max="15371" width="12.00390625" style="595" customWidth="1"/>
    <col min="15372" max="15372" width="63.625" style="595" customWidth="1"/>
    <col min="15373" max="15373" width="7.875" style="595" customWidth="1"/>
    <col min="15374" max="15374" width="5.50390625" style="595" customWidth="1"/>
    <col min="15375" max="15375" width="9.875" style="595" customWidth="1"/>
    <col min="15376" max="15376" width="16.50390625" style="595" customWidth="1"/>
    <col min="15377" max="15377" width="14.625" style="595" bestFit="1" customWidth="1"/>
    <col min="15378" max="15616" width="9.125" style="595" customWidth="1"/>
    <col min="15617" max="15617" width="5.625" style="595" customWidth="1"/>
    <col min="15618" max="15618" width="62.875" style="595" customWidth="1"/>
    <col min="15619" max="15619" width="5.50390625" style="595" customWidth="1"/>
    <col min="15620" max="15620" width="11.625" style="595" customWidth="1"/>
    <col min="15621" max="15621" width="7.875" style="595" customWidth="1"/>
    <col min="15622" max="15622" width="6.375" style="595" customWidth="1"/>
    <col min="15623" max="15623" width="6.50390625" style="595" customWidth="1"/>
    <col min="15624" max="15624" width="9.125" style="595" customWidth="1"/>
    <col min="15625" max="15625" width="13.125" style="595" customWidth="1"/>
    <col min="15626" max="15626" width="10.50390625" style="595" customWidth="1"/>
    <col min="15627" max="15627" width="12.00390625" style="595" customWidth="1"/>
    <col min="15628" max="15628" width="63.625" style="595" customWidth="1"/>
    <col min="15629" max="15629" width="7.875" style="595" customWidth="1"/>
    <col min="15630" max="15630" width="5.50390625" style="595" customWidth="1"/>
    <col min="15631" max="15631" width="9.875" style="595" customWidth="1"/>
    <col min="15632" max="15632" width="16.50390625" style="595" customWidth="1"/>
    <col min="15633" max="15633" width="14.625" style="595" bestFit="1" customWidth="1"/>
    <col min="15634" max="15872" width="9.125" style="595" customWidth="1"/>
    <col min="15873" max="15873" width="5.625" style="595" customWidth="1"/>
    <col min="15874" max="15874" width="62.875" style="595" customWidth="1"/>
    <col min="15875" max="15875" width="5.50390625" style="595" customWidth="1"/>
    <col min="15876" max="15876" width="11.625" style="595" customWidth="1"/>
    <col min="15877" max="15877" width="7.875" style="595" customWidth="1"/>
    <col min="15878" max="15878" width="6.375" style="595" customWidth="1"/>
    <col min="15879" max="15879" width="6.50390625" style="595" customWidth="1"/>
    <col min="15880" max="15880" width="9.125" style="595" customWidth="1"/>
    <col min="15881" max="15881" width="13.125" style="595" customWidth="1"/>
    <col min="15882" max="15882" width="10.50390625" style="595" customWidth="1"/>
    <col min="15883" max="15883" width="12.00390625" style="595" customWidth="1"/>
    <col min="15884" max="15884" width="63.625" style="595" customWidth="1"/>
    <col min="15885" max="15885" width="7.875" style="595" customWidth="1"/>
    <col min="15886" max="15886" width="5.50390625" style="595" customWidth="1"/>
    <col min="15887" max="15887" width="9.875" style="595" customWidth="1"/>
    <col min="15888" max="15888" width="16.50390625" style="595" customWidth="1"/>
    <col min="15889" max="15889" width="14.625" style="595" bestFit="1" customWidth="1"/>
    <col min="15890" max="16128" width="9.125" style="595" customWidth="1"/>
    <col min="16129" max="16129" width="5.625" style="595" customWidth="1"/>
    <col min="16130" max="16130" width="62.875" style="595" customWidth="1"/>
    <col min="16131" max="16131" width="5.50390625" style="595" customWidth="1"/>
    <col min="16132" max="16132" width="11.625" style="595" customWidth="1"/>
    <col min="16133" max="16133" width="7.875" style="595" customWidth="1"/>
    <col min="16134" max="16134" width="6.375" style="595" customWidth="1"/>
    <col min="16135" max="16135" width="6.50390625" style="595" customWidth="1"/>
    <col min="16136" max="16136" width="9.125" style="595" customWidth="1"/>
    <col min="16137" max="16137" width="13.125" style="595" customWidth="1"/>
    <col min="16138" max="16138" width="10.50390625" style="595" customWidth="1"/>
    <col min="16139" max="16139" width="12.00390625" style="595" customWidth="1"/>
    <col min="16140" max="16140" width="63.625" style="595" customWidth="1"/>
    <col min="16141" max="16141" width="7.875" style="595" customWidth="1"/>
    <col min="16142" max="16142" width="5.50390625" style="595" customWidth="1"/>
    <col min="16143" max="16143" width="9.875" style="595" customWidth="1"/>
    <col min="16144" max="16144" width="16.50390625" style="595" customWidth="1"/>
    <col min="16145" max="16145" width="14.625" style="595" bestFit="1" customWidth="1"/>
    <col min="16146" max="16384" width="9.125" style="595" customWidth="1"/>
  </cols>
  <sheetData>
    <row r="1" spans="1:9" ht="12.75">
      <c r="A1" s="1629" t="s">
        <v>1587</v>
      </c>
      <c r="B1" s="1631"/>
      <c r="C1" s="582"/>
      <c r="D1" s="584"/>
      <c r="E1" s="582"/>
      <c r="F1" s="582"/>
      <c r="I1" s="585"/>
    </row>
    <row r="2" spans="1:9" ht="12.75">
      <c r="A2" s="1629" t="s">
        <v>2025</v>
      </c>
      <c r="B2" s="1630"/>
      <c r="C2" s="582"/>
      <c r="D2" s="584"/>
      <c r="E2" s="582"/>
      <c r="F2" s="582"/>
      <c r="I2" s="586"/>
    </row>
    <row r="3" spans="1:9" ht="12.75">
      <c r="A3" s="587" t="s">
        <v>2026</v>
      </c>
      <c r="B3" s="1136"/>
      <c r="C3" s="582"/>
      <c r="D3" s="584"/>
      <c r="E3" s="582"/>
      <c r="F3" s="582"/>
      <c r="I3" s="586"/>
    </row>
    <row r="4" spans="1:9" ht="15.6">
      <c r="A4" s="587"/>
      <c r="B4" s="590"/>
      <c r="C4" s="582"/>
      <c r="D4" s="584"/>
      <c r="E4" s="582"/>
      <c r="F4" s="582"/>
      <c r="I4" s="586"/>
    </row>
    <row r="5" spans="1:10" ht="15.6">
      <c r="A5" s="604"/>
      <c r="B5" s="590"/>
      <c r="C5" s="582"/>
      <c r="D5" s="604"/>
      <c r="E5" s="744"/>
      <c r="F5" s="744"/>
      <c r="G5" s="744"/>
      <c r="H5" s="744"/>
      <c r="I5" s="744"/>
      <c r="J5" s="738"/>
    </row>
    <row r="6" spans="1:10" ht="12.75">
      <c r="A6" s="784"/>
      <c r="B6" s="785" t="s">
        <v>1039</v>
      </c>
      <c r="C6" s="786" t="s">
        <v>1041</v>
      </c>
      <c r="D6" s="786" t="s">
        <v>1042</v>
      </c>
      <c r="E6" s="1635" t="s">
        <v>133</v>
      </c>
      <c r="F6" s="1636"/>
      <c r="G6" s="1636"/>
      <c r="H6" s="1635" t="s">
        <v>1129</v>
      </c>
      <c r="I6" s="1636"/>
      <c r="J6" s="1636"/>
    </row>
    <row r="7" spans="1:10" ht="67.2">
      <c r="A7" s="784"/>
      <c r="B7" s="785"/>
      <c r="C7" s="786"/>
      <c r="D7" s="786"/>
      <c r="E7" s="752" t="s">
        <v>2027</v>
      </c>
      <c r="F7" s="752" t="s">
        <v>1577</v>
      </c>
      <c r="G7" s="752" t="s">
        <v>1578</v>
      </c>
      <c r="H7" s="752" t="s">
        <v>2027</v>
      </c>
      <c r="I7" s="753" t="s">
        <v>1579</v>
      </c>
      <c r="J7" s="752" t="s">
        <v>1578</v>
      </c>
    </row>
    <row r="8" spans="1:10" ht="12.75">
      <c r="A8" s="604"/>
      <c r="B8" s="606"/>
      <c r="C8" s="582"/>
      <c r="D8" s="582"/>
      <c r="E8" s="788"/>
      <c r="F8" s="788"/>
      <c r="G8" s="788"/>
      <c r="H8" s="788"/>
      <c r="I8" s="789"/>
      <c r="J8" s="788"/>
    </row>
    <row r="9" spans="1:10" ht="12.75">
      <c r="A9" s="591">
        <v>1</v>
      </c>
      <c r="B9" s="592" t="s">
        <v>1957</v>
      </c>
      <c r="C9" s="593" t="s">
        <v>231</v>
      </c>
      <c r="E9" s="591">
        <v>90</v>
      </c>
      <c r="F9" s="591">
        <v>0</v>
      </c>
      <c r="G9" s="591">
        <v>0</v>
      </c>
      <c r="H9" s="596">
        <f>D9*E9</f>
        <v>0</v>
      </c>
      <c r="I9" s="596">
        <f>D9*F9</f>
        <v>0</v>
      </c>
      <c r="J9" s="596">
        <f>D9*G9</f>
        <v>0</v>
      </c>
    </row>
    <row r="10" spans="1:10" ht="12.75">
      <c r="A10" s="591">
        <v>2</v>
      </c>
      <c r="B10" s="592" t="s">
        <v>1958</v>
      </c>
      <c r="C10" s="593" t="s">
        <v>145</v>
      </c>
      <c r="E10" s="591">
        <v>45</v>
      </c>
      <c r="F10" s="591">
        <v>0</v>
      </c>
      <c r="G10" s="591">
        <v>0</v>
      </c>
      <c r="H10" s="596">
        <f aca="true" t="shared" si="0" ref="H10:H73">D10*E10</f>
        <v>0</v>
      </c>
      <c r="I10" s="596">
        <f aca="true" t="shared" si="1" ref="I10:I73">D10*F10</f>
        <v>0</v>
      </c>
      <c r="J10" s="596">
        <f aca="true" t="shared" si="2" ref="J10:J73">D10*G10</f>
        <v>0</v>
      </c>
    </row>
    <row r="11" spans="1:10" ht="12.75">
      <c r="A11" s="591">
        <v>3</v>
      </c>
      <c r="B11" s="592" t="s">
        <v>1959</v>
      </c>
      <c r="C11" s="593" t="s">
        <v>154</v>
      </c>
      <c r="E11" s="591">
        <v>1</v>
      </c>
      <c r="F11" s="591">
        <v>0</v>
      </c>
      <c r="G11" s="591">
        <v>0</v>
      </c>
      <c r="H11" s="596">
        <f t="shared" si="0"/>
        <v>0</v>
      </c>
      <c r="I11" s="596">
        <f t="shared" si="1"/>
        <v>0</v>
      </c>
      <c r="J11" s="596">
        <f t="shared" si="2"/>
        <v>0</v>
      </c>
    </row>
    <row r="12" spans="1:10" ht="12.75">
      <c r="A12" s="591">
        <v>4</v>
      </c>
      <c r="B12" s="592" t="s">
        <v>1960</v>
      </c>
      <c r="C12" s="593" t="s">
        <v>154</v>
      </c>
      <c r="E12" s="591">
        <v>2</v>
      </c>
      <c r="F12" s="591">
        <v>0</v>
      </c>
      <c r="G12" s="591">
        <v>0</v>
      </c>
      <c r="H12" s="596">
        <f t="shared" si="0"/>
        <v>0</v>
      </c>
      <c r="I12" s="596">
        <f t="shared" si="1"/>
        <v>0</v>
      </c>
      <c r="J12" s="596">
        <f t="shared" si="2"/>
        <v>0</v>
      </c>
    </row>
    <row r="13" spans="1:10" ht="12.75">
      <c r="A13" s="591">
        <v>5</v>
      </c>
      <c r="B13" s="592" t="s">
        <v>1961</v>
      </c>
      <c r="C13" s="593" t="s">
        <v>154</v>
      </c>
      <c r="E13" s="591">
        <v>1</v>
      </c>
      <c r="F13" s="591">
        <v>0</v>
      </c>
      <c r="G13" s="591">
        <v>0</v>
      </c>
      <c r="H13" s="596">
        <f t="shared" si="0"/>
        <v>0</v>
      </c>
      <c r="I13" s="596">
        <f t="shared" si="1"/>
        <v>0</v>
      </c>
      <c r="J13" s="596">
        <f t="shared" si="2"/>
        <v>0</v>
      </c>
    </row>
    <row r="14" spans="1:10" ht="12.75">
      <c r="A14" s="591">
        <v>6</v>
      </c>
      <c r="B14" s="592" t="s">
        <v>1962</v>
      </c>
      <c r="C14" s="593" t="s">
        <v>1615</v>
      </c>
      <c r="E14" s="591">
        <v>1</v>
      </c>
      <c r="F14" s="591">
        <v>-1</v>
      </c>
      <c r="G14" s="591">
        <v>0</v>
      </c>
      <c r="H14" s="596">
        <f t="shared" si="0"/>
        <v>0</v>
      </c>
      <c r="I14" s="596">
        <f t="shared" si="1"/>
        <v>0</v>
      </c>
      <c r="J14" s="596">
        <f t="shared" si="2"/>
        <v>0</v>
      </c>
    </row>
    <row r="15" spans="1:10" ht="12.75">
      <c r="A15" s="591">
        <v>7</v>
      </c>
      <c r="B15" s="592" t="s">
        <v>1963</v>
      </c>
      <c r="C15" s="593" t="s">
        <v>1615</v>
      </c>
      <c r="E15" s="591">
        <v>1</v>
      </c>
      <c r="F15" s="591">
        <v>-1</v>
      </c>
      <c r="G15" s="591">
        <v>0</v>
      </c>
      <c r="H15" s="596">
        <f t="shared" si="0"/>
        <v>0</v>
      </c>
      <c r="I15" s="596">
        <f t="shared" si="1"/>
        <v>0</v>
      </c>
      <c r="J15" s="596">
        <f t="shared" si="2"/>
        <v>0</v>
      </c>
    </row>
    <row r="16" spans="1:10" ht="12.75">
      <c r="A16" s="591">
        <v>8</v>
      </c>
      <c r="B16" s="592" t="s">
        <v>2735</v>
      </c>
      <c r="C16" s="593" t="s">
        <v>1615</v>
      </c>
      <c r="E16" s="591">
        <v>1</v>
      </c>
      <c r="F16" s="591">
        <v>-1</v>
      </c>
      <c r="G16" s="591">
        <v>0</v>
      </c>
      <c r="H16" s="596">
        <f t="shared" si="0"/>
        <v>0</v>
      </c>
      <c r="I16" s="596">
        <f t="shared" si="1"/>
        <v>0</v>
      </c>
      <c r="J16" s="596">
        <f t="shared" si="2"/>
        <v>0</v>
      </c>
    </row>
    <row r="17" spans="1:10" ht="12.75">
      <c r="A17" s="591">
        <v>9</v>
      </c>
      <c r="B17" s="592" t="s">
        <v>1965</v>
      </c>
      <c r="C17" s="593" t="s">
        <v>231</v>
      </c>
      <c r="E17" s="591">
        <v>90</v>
      </c>
      <c r="F17" s="591">
        <v>-90</v>
      </c>
      <c r="G17" s="591">
        <v>0</v>
      </c>
      <c r="H17" s="596">
        <f t="shared" si="0"/>
        <v>0</v>
      </c>
      <c r="I17" s="596">
        <f t="shared" si="1"/>
        <v>0</v>
      </c>
      <c r="J17" s="596">
        <f t="shared" si="2"/>
        <v>0</v>
      </c>
    </row>
    <row r="18" spans="1:10" ht="12.75">
      <c r="A18" s="591">
        <v>10</v>
      </c>
      <c r="B18" s="592" t="s">
        <v>1966</v>
      </c>
      <c r="C18" s="593" t="s">
        <v>231</v>
      </c>
      <c r="E18" s="591">
        <v>90</v>
      </c>
      <c r="F18" s="591">
        <v>-90</v>
      </c>
      <c r="G18" s="591">
        <v>0</v>
      </c>
      <c r="H18" s="596">
        <f t="shared" si="0"/>
        <v>0</v>
      </c>
      <c r="I18" s="596">
        <f t="shared" si="1"/>
        <v>0</v>
      </c>
      <c r="J18" s="596">
        <f t="shared" si="2"/>
        <v>0</v>
      </c>
    </row>
    <row r="19" spans="1:10" ht="12.75">
      <c r="A19" s="591">
        <v>11</v>
      </c>
      <c r="B19" s="592" t="s">
        <v>1967</v>
      </c>
      <c r="C19" s="593" t="s">
        <v>231</v>
      </c>
      <c r="E19" s="591">
        <v>90</v>
      </c>
      <c r="F19" s="591">
        <v>0</v>
      </c>
      <c r="G19" s="591">
        <v>0</v>
      </c>
      <c r="H19" s="596">
        <f t="shared" si="0"/>
        <v>0</v>
      </c>
      <c r="I19" s="596">
        <f t="shared" si="1"/>
        <v>0</v>
      </c>
      <c r="J19" s="596">
        <f t="shared" si="2"/>
        <v>0</v>
      </c>
    </row>
    <row r="20" spans="1:10" ht="12.75">
      <c r="A20" s="591">
        <v>12</v>
      </c>
      <c r="B20" s="592" t="s">
        <v>1968</v>
      </c>
      <c r="C20" s="593" t="s">
        <v>154</v>
      </c>
      <c r="E20" s="591">
        <v>4</v>
      </c>
      <c r="F20" s="591">
        <v>-2</v>
      </c>
      <c r="G20" s="591">
        <v>0</v>
      </c>
      <c r="H20" s="596">
        <f t="shared" si="0"/>
        <v>0</v>
      </c>
      <c r="I20" s="596">
        <f t="shared" si="1"/>
        <v>0</v>
      </c>
      <c r="J20" s="596">
        <f t="shared" si="2"/>
        <v>0</v>
      </c>
    </row>
    <row r="21" spans="1:10" ht="12.75">
      <c r="A21" s="591">
        <v>13</v>
      </c>
      <c r="B21" s="592" t="s">
        <v>1969</v>
      </c>
      <c r="C21" s="593" t="s">
        <v>757</v>
      </c>
      <c r="E21" s="591">
        <v>2</v>
      </c>
      <c r="F21" s="591">
        <v>-2</v>
      </c>
      <c r="G21" s="591">
        <v>0</v>
      </c>
      <c r="H21" s="596">
        <f t="shared" si="0"/>
        <v>0</v>
      </c>
      <c r="I21" s="596">
        <f t="shared" si="1"/>
        <v>0</v>
      </c>
      <c r="J21" s="596">
        <f t="shared" si="2"/>
        <v>0</v>
      </c>
    </row>
    <row r="22" spans="1:10" ht="12.75">
      <c r="A22" s="591">
        <v>14</v>
      </c>
      <c r="B22" s="592" t="s">
        <v>1970</v>
      </c>
      <c r="C22" s="593" t="s">
        <v>757</v>
      </c>
      <c r="E22" s="591">
        <v>2</v>
      </c>
      <c r="F22" s="591">
        <v>0</v>
      </c>
      <c r="G22" s="591">
        <v>0</v>
      </c>
      <c r="H22" s="596">
        <f t="shared" si="0"/>
        <v>0</v>
      </c>
      <c r="I22" s="596">
        <f t="shared" si="1"/>
        <v>0</v>
      </c>
      <c r="J22" s="596">
        <f t="shared" si="2"/>
        <v>0</v>
      </c>
    </row>
    <row r="23" spans="1:10" ht="12.75">
      <c r="A23" s="591">
        <v>15</v>
      </c>
      <c r="B23" s="592" t="s">
        <v>1971</v>
      </c>
      <c r="C23" s="593" t="s">
        <v>231</v>
      </c>
      <c r="E23" s="591">
        <v>90</v>
      </c>
      <c r="F23" s="591">
        <v>-90</v>
      </c>
      <c r="G23" s="591">
        <v>0</v>
      </c>
      <c r="H23" s="596">
        <f t="shared" si="0"/>
        <v>0</v>
      </c>
      <c r="I23" s="596">
        <f t="shared" si="1"/>
        <v>0</v>
      </c>
      <c r="J23" s="596">
        <f t="shared" si="2"/>
        <v>0</v>
      </c>
    </row>
    <row r="24" spans="1:10" ht="12.75">
      <c r="A24" s="591">
        <v>16</v>
      </c>
      <c r="B24" s="592" t="s">
        <v>1972</v>
      </c>
      <c r="C24" s="593" t="s">
        <v>154</v>
      </c>
      <c r="E24" s="591">
        <v>90</v>
      </c>
      <c r="F24" s="591">
        <v>-45</v>
      </c>
      <c r="G24" s="591">
        <v>0</v>
      </c>
      <c r="H24" s="596">
        <f t="shared" si="0"/>
        <v>0</v>
      </c>
      <c r="I24" s="596">
        <f t="shared" si="1"/>
        <v>0</v>
      </c>
      <c r="J24" s="596">
        <f t="shared" si="2"/>
        <v>0</v>
      </c>
    </row>
    <row r="25" spans="1:10" ht="12.75">
      <c r="A25" s="591">
        <v>17</v>
      </c>
      <c r="B25" s="592" t="s">
        <v>1973</v>
      </c>
      <c r="C25" s="593" t="s">
        <v>145</v>
      </c>
      <c r="E25" s="591">
        <v>90</v>
      </c>
      <c r="F25" s="591">
        <v>-45</v>
      </c>
      <c r="G25" s="591">
        <v>0</v>
      </c>
      <c r="H25" s="596">
        <f t="shared" si="0"/>
        <v>0</v>
      </c>
      <c r="I25" s="596">
        <f t="shared" si="1"/>
        <v>0</v>
      </c>
      <c r="J25" s="596">
        <f t="shared" si="2"/>
        <v>0</v>
      </c>
    </row>
    <row r="26" spans="1:10" ht="12.75">
      <c r="A26" s="591">
        <v>18</v>
      </c>
      <c r="B26" s="592" t="s">
        <v>1974</v>
      </c>
      <c r="C26" s="593" t="s">
        <v>231</v>
      </c>
      <c r="E26" s="591">
        <v>180</v>
      </c>
      <c r="F26" s="591">
        <v>-170</v>
      </c>
      <c r="G26" s="591">
        <v>0</v>
      </c>
      <c r="H26" s="596">
        <f t="shared" si="0"/>
        <v>0</v>
      </c>
      <c r="I26" s="596">
        <f t="shared" si="1"/>
        <v>0</v>
      </c>
      <c r="J26" s="596">
        <f t="shared" si="2"/>
        <v>0</v>
      </c>
    </row>
    <row r="27" spans="1:10" ht="12.75">
      <c r="A27" s="591">
        <v>19</v>
      </c>
      <c r="B27" s="592" t="s">
        <v>1975</v>
      </c>
      <c r="C27" s="593" t="s">
        <v>757</v>
      </c>
      <c r="E27" s="591">
        <v>4</v>
      </c>
      <c r="F27" s="591">
        <v>-2</v>
      </c>
      <c r="G27" s="591">
        <v>0</v>
      </c>
      <c r="H27" s="596">
        <f t="shared" si="0"/>
        <v>0</v>
      </c>
      <c r="I27" s="596">
        <f t="shared" si="1"/>
        <v>0</v>
      </c>
      <c r="J27" s="596">
        <f t="shared" si="2"/>
        <v>0</v>
      </c>
    </row>
    <row r="28" spans="1:10" ht="12.75">
      <c r="A28" s="591">
        <v>20</v>
      </c>
      <c r="B28" s="592" t="s">
        <v>2028</v>
      </c>
      <c r="C28" s="593" t="s">
        <v>231</v>
      </c>
      <c r="E28" s="591">
        <v>180</v>
      </c>
      <c r="F28" s="591">
        <v>1460</v>
      </c>
      <c r="G28" s="591">
        <v>0</v>
      </c>
      <c r="H28" s="596">
        <f t="shared" si="0"/>
        <v>0</v>
      </c>
      <c r="I28" s="596">
        <f t="shared" si="1"/>
        <v>0</v>
      </c>
      <c r="J28" s="596">
        <f t="shared" si="2"/>
        <v>0</v>
      </c>
    </row>
    <row r="29" spans="1:10" ht="12.75">
      <c r="A29" s="591">
        <v>21</v>
      </c>
      <c r="B29" s="592" t="s">
        <v>1977</v>
      </c>
      <c r="C29" s="593" t="s">
        <v>757</v>
      </c>
      <c r="E29" s="591">
        <v>2</v>
      </c>
      <c r="F29" s="591">
        <v>0</v>
      </c>
      <c r="G29" s="591">
        <v>0</v>
      </c>
      <c r="H29" s="596">
        <f t="shared" si="0"/>
        <v>0</v>
      </c>
      <c r="I29" s="596">
        <f t="shared" si="1"/>
        <v>0</v>
      </c>
      <c r="J29" s="596">
        <f t="shared" si="2"/>
        <v>0</v>
      </c>
    </row>
    <row r="30" spans="1:10" ht="12.75">
      <c r="A30" s="591">
        <v>22</v>
      </c>
      <c r="B30" s="592" t="s">
        <v>1978</v>
      </c>
      <c r="C30" s="593" t="s">
        <v>757</v>
      </c>
      <c r="E30" s="591">
        <v>4</v>
      </c>
      <c r="F30" s="591">
        <v>16</v>
      </c>
      <c r="G30" s="591">
        <v>0</v>
      </c>
      <c r="H30" s="596">
        <f t="shared" si="0"/>
        <v>0</v>
      </c>
      <c r="I30" s="596">
        <f t="shared" si="1"/>
        <v>0</v>
      </c>
      <c r="J30" s="596">
        <f t="shared" si="2"/>
        <v>0</v>
      </c>
    </row>
    <row r="31" spans="1:10" ht="12.75">
      <c r="A31" s="591">
        <v>23</v>
      </c>
      <c r="B31" s="592" t="s">
        <v>1979</v>
      </c>
      <c r="C31" s="593" t="s">
        <v>231</v>
      </c>
      <c r="E31" s="591">
        <v>90</v>
      </c>
      <c r="F31" s="591">
        <v>-90</v>
      </c>
      <c r="G31" s="591">
        <v>0</v>
      </c>
      <c r="H31" s="596">
        <f t="shared" si="0"/>
        <v>0</v>
      </c>
      <c r="I31" s="596">
        <f t="shared" si="1"/>
        <v>0</v>
      </c>
      <c r="J31" s="596">
        <f t="shared" si="2"/>
        <v>0</v>
      </c>
    </row>
    <row r="32" spans="1:10" ht="12.75">
      <c r="A32" s="591">
        <v>24</v>
      </c>
      <c r="B32" s="592" t="s">
        <v>1980</v>
      </c>
      <c r="C32" s="593" t="s">
        <v>145</v>
      </c>
      <c r="E32" s="591">
        <v>40</v>
      </c>
      <c r="F32" s="591">
        <v>-20</v>
      </c>
      <c r="G32" s="591">
        <v>0</v>
      </c>
      <c r="H32" s="596">
        <f t="shared" si="0"/>
        <v>0</v>
      </c>
      <c r="I32" s="596">
        <f t="shared" si="1"/>
        <v>0</v>
      </c>
      <c r="J32" s="596">
        <f t="shared" si="2"/>
        <v>0</v>
      </c>
    </row>
    <row r="33" spans="1:10" ht="12.75">
      <c r="A33" s="591">
        <v>25</v>
      </c>
      <c r="B33" s="592" t="s">
        <v>1981</v>
      </c>
      <c r="C33" s="593" t="s">
        <v>145</v>
      </c>
      <c r="E33" s="591">
        <v>20</v>
      </c>
      <c r="F33" s="591">
        <v>-10</v>
      </c>
      <c r="G33" s="591">
        <v>0</v>
      </c>
      <c r="H33" s="596">
        <f t="shared" si="0"/>
        <v>0</v>
      </c>
      <c r="I33" s="596">
        <f t="shared" si="1"/>
        <v>0</v>
      </c>
      <c r="J33" s="596">
        <f t="shared" si="2"/>
        <v>0</v>
      </c>
    </row>
    <row r="34" spans="1:10" ht="12.75">
      <c r="A34" s="591">
        <v>26</v>
      </c>
      <c r="B34" s="592" t="s">
        <v>1982</v>
      </c>
      <c r="C34" s="593" t="s">
        <v>757</v>
      </c>
      <c r="E34" s="591">
        <v>1</v>
      </c>
      <c r="F34" s="591">
        <v>-1</v>
      </c>
      <c r="G34" s="591">
        <v>0</v>
      </c>
      <c r="H34" s="596">
        <f t="shared" si="0"/>
        <v>0</v>
      </c>
      <c r="I34" s="596">
        <f t="shared" si="1"/>
        <v>0</v>
      </c>
      <c r="J34" s="596">
        <f t="shared" si="2"/>
        <v>0</v>
      </c>
    </row>
    <row r="35" spans="1:10" ht="12.75">
      <c r="A35" s="591">
        <v>27</v>
      </c>
      <c r="B35" s="592" t="s">
        <v>1983</v>
      </c>
      <c r="C35" s="593" t="s">
        <v>231</v>
      </c>
      <c r="E35" s="591">
        <v>90</v>
      </c>
      <c r="F35" s="591">
        <v>90</v>
      </c>
      <c r="G35" s="591">
        <v>0</v>
      </c>
      <c r="H35" s="596">
        <f t="shared" si="0"/>
        <v>0</v>
      </c>
      <c r="I35" s="596">
        <f t="shared" si="1"/>
        <v>0</v>
      </c>
      <c r="J35" s="596">
        <f t="shared" si="2"/>
        <v>0</v>
      </c>
    </row>
    <row r="36" spans="1:10" ht="12.75">
      <c r="A36" s="591">
        <v>28</v>
      </c>
      <c r="B36" s="592" t="s">
        <v>1984</v>
      </c>
      <c r="C36" s="593" t="s">
        <v>231</v>
      </c>
      <c r="E36" s="591">
        <v>90</v>
      </c>
      <c r="F36" s="591">
        <v>-90</v>
      </c>
      <c r="G36" s="591">
        <v>0</v>
      </c>
      <c r="H36" s="596">
        <f t="shared" si="0"/>
        <v>0</v>
      </c>
      <c r="I36" s="596">
        <f t="shared" si="1"/>
        <v>0</v>
      </c>
      <c r="J36" s="596">
        <f t="shared" si="2"/>
        <v>0</v>
      </c>
    </row>
    <row r="37" spans="1:10" ht="12.75">
      <c r="A37" s="591">
        <v>29</v>
      </c>
      <c r="B37" s="592" t="s">
        <v>1985</v>
      </c>
      <c r="C37" s="593" t="s">
        <v>231</v>
      </c>
      <c r="E37" s="591">
        <v>60</v>
      </c>
      <c r="F37" s="591">
        <v>-60</v>
      </c>
      <c r="G37" s="591">
        <v>0</v>
      </c>
      <c r="H37" s="596">
        <f t="shared" si="0"/>
        <v>0</v>
      </c>
      <c r="I37" s="596">
        <f t="shared" si="1"/>
        <v>0</v>
      </c>
      <c r="J37" s="596">
        <f t="shared" si="2"/>
        <v>0</v>
      </c>
    </row>
    <row r="38" spans="1:10" ht="12.75">
      <c r="A38" s="591">
        <v>30</v>
      </c>
      <c r="B38" s="592" t="s">
        <v>1986</v>
      </c>
      <c r="C38" s="593" t="s">
        <v>231</v>
      </c>
      <c r="E38" s="591">
        <v>60</v>
      </c>
      <c r="F38" s="591">
        <v>-60</v>
      </c>
      <c r="G38" s="591">
        <v>0</v>
      </c>
      <c r="H38" s="596">
        <f t="shared" si="0"/>
        <v>0</v>
      </c>
      <c r="I38" s="596">
        <f t="shared" si="1"/>
        <v>0</v>
      </c>
      <c r="J38" s="596">
        <f t="shared" si="2"/>
        <v>0</v>
      </c>
    </row>
    <row r="39" spans="1:10" ht="12.75">
      <c r="A39" s="591">
        <v>31</v>
      </c>
      <c r="B39" s="592" t="s">
        <v>1987</v>
      </c>
      <c r="C39" s="593" t="s">
        <v>1988</v>
      </c>
      <c r="E39" s="591">
        <v>50</v>
      </c>
      <c r="F39" s="591">
        <v>-30</v>
      </c>
      <c r="G39" s="591">
        <v>0</v>
      </c>
      <c r="H39" s="596">
        <f t="shared" si="0"/>
        <v>0</v>
      </c>
      <c r="I39" s="596">
        <f t="shared" si="1"/>
        <v>0</v>
      </c>
      <c r="J39" s="596">
        <f t="shared" si="2"/>
        <v>0</v>
      </c>
    </row>
    <row r="40" spans="1:10" ht="12.75">
      <c r="A40" s="591">
        <v>32</v>
      </c>
      <c r="B40" s="1137" t="s">
        <v>1989</v>
      </c>
      <c r="C40" s="582" t="s">
        <v>231</v>
      </c>
      <c r="E40" s="582">
        <v>180</v>
      </c>
      <c r="F40" s="582">
        <v>-180</v>
      </c>
      <c r="G40" s="591">
        <v>0</v>
      </c>
      <c r="H40" s="596">
        <f t="shared" si="0"/>
        <v>0</v>
      </c>
      <c r="I40" s="596">
        <f t="shared" si="1"/>
        <v>0</v>
      </c>
      <c r="J40" s="596">
        <f t="shared" si="2"/>
        <v>0</v>
      </c>
    </row>
    <row r="41" spans="1:10" ht="12.75">
      <c r="A41" s="591">
        <v>33</v>
      </c>
      <c r="B41" s="1137" t="s">
        <v>1990</v>
      </c>
      <c r="C41" s="582" t="s">
        <v>757</v>
      </c>
      <c r="E41" s="582">
        <v>10</v>
      </c>
      <c r="F41" s="582">
        <v>-10</v>
      </c>
      <c r="G41" s="591">
        <v>0</v>
      </c>
      <c r="H41" s="596">
        <f t="shared" si="0"/>
        <v>0</v>
      </c>
      <c r="I41" s="596">
        <f t="shared" si="1"/>
        <v>0</v>
      </c>
      <c r="J41" s="596">
        <f t="shared" si="2"/>
        <v>0</v>
      </c>
    </row>
    <row r="42" spans="1:10" ht="12.75">
      <c r="A42" s="591">
        <v>34</v>
      </c>
      <c r="B42" s="1137" t="s">
        <v>1991</v>
      </c>
      <c r="C42" s="582" t="s">
        <v>231</v>
      </c>
      <c r="E42" s="582">
        <v>1600</v>
      </c>
      <c r="F42" s="582">
        <v>-1600</v>
      </c>
      <c r="G42" s="591">
        <v>0</v>
      </c>
      <c r="H42" s="596">
        <f t="shared" si="0"/>
        <v>0</v>
      </c>
      <c r="I42" s="596">
        <f t="shared" si="1"/>
        <v>0</v>
      </c>
      <c r="J42" s="596">
        <f t="shared" si="2"/>
        <v>0</v>
      </c>
    </row>
    <row r="43" spans="1:10" ht="23.4">
      <c r="A43" s="591">
        <v>35</v>
      </c>
      <c r="B43" s="1137" t="s">
        <v>2029</v>
      </c>
      <c r="C43" s="582" t="s">
        <v>757</v>
      </c>
      <c r="E43" s="582">
        <v>32</v>
      </c>
      <c r="F43" s="582">
        <v>0</v>
      </c>
      <c r="G43" s="591">
        <v>0</v>
      </c>
      <c r="H43" s="596">
        <f t="shared" si="0"/>
        <v>0</v>
      </c>
      <c r="I43" s="596">
        <f t="shared" si="1"/>
        <v>0</v>
      </c>
      <c r="J43" s="596">
        <f t="shared" si="2"/>
        <v>0</v>
      </c>
    </row>
    <row r="44" spans="1:10" ht="12.75">
      <c r="A44" s="591">
        <v>36</v>
      </c>
      <c r="B44" s="1137" t="s">
        <v>1993</v>
      </c>
      <c r="C44" s="582" t="s">
        <v>757</v>
      </c>
      <c r="E44" s="582">
        <v>32</v>
      </c>
      <c r="F44" s="582">
        <v>0</v>
      </c>
      <c r="G44" s="591">
        <v>0</v>
      </c>
      <c r="H44" s="596">
        <f t="shared" si="0"/>
        <v>0</v>
      </c>
      <c r="I44" s="596">
        <f t="shared" si="1"/>
        <v>0</v>
      </c>
      <c r="J44" s="596">
        <f t="shared" si="2"/>
        <v>0</v>
      </c>
    </row>
    <row r="45" spans="1:10" ht="12.75">
      <c r="A45" s="591">
        <v>37</v>
      </c>
      <c r="B45" s="592" t="s">
        <v>1994</v>
      </c>
      <c r="C45" s="593" t="s">
        <v>1995</v>
      </c>
      <c r="E45" s="593">
        <v>1</v>
      </c>
      <c r="F45" s="593">
        <v>0</v>
      </c>
      <c r="G45" s="591">
        <v>0</v>
      </c>
      <c r="H45" s="596">
        <f t="shared" si="0"/>
        <v>0</v>
      </c>
      <c r="I45" s="596">
        <f t="shared" si="1"/>
        <v>0</v>
      </c>
      <c r="J45" s="596">
        <f t="shared" si="2"/>
        <v>0</v>
      </c>
    </row>
    <row r="46" spans="1:10" ht="12.75">
      <c r="A46" s="591">
        <v>38</v>
      </c>
      <c r="B46" s="592" t="s">
        <v>1996</v>
      </c>
      <c r="C46" s="593" t="s">
        <v>757</v>
      </c>
      <c r="E46" s="604">
        <v>2</v>
      </c>
      <c r="F46" s="604">
        <v>0</v>
      </c>
      <c r="G46" s="591">
        <v>0</v>
      </c>
      <c r="H46" s="596">
        <f t="shared" si="0"/>
        <v>0</v>
      </c>
      <c r="I46" s="596">
        <f t="shared" si="1"/>
        <v>0</v>
      </c>
      <c r="J46" s="596">
        <f t="shared" si="2"/>
        <v>0</v>
      </c>
    </row>
    <row r="47" spans="1:10" ht="12.75">
      <c r="A47" s="591">
        <v>39</v>
      </c>
      <c r="B47" s="592" t="s">
        <v>1997</v>
      </c>
      <c r="C47" s="593" t="s">
        <v>757</v>
      </c>
      <c r="E47" s="604">
        <v>32</v>
      </c>
      <c r="F47" s="604">
        <v>0</v>
      </c>
      <c r="G47" s="591">
        <v>0</v>
      </c>
      <c r="H47" s="596">
        <f t="shared" si="0"/>
        <v>0</v>
      </c>
      <c r="I47" s="596">
        <f t="shared" si="1"/>
        <v>0</v>
      </c>
      <c r="J47" s="596">
        <f t="shared" si="2"/>
        <v>0</v>
      </c>
    </row>
    <row r="48" spans="1:10" ht="12.75">
      <c r="A48" s="591">
        <v>40</v>
      </c>
      <c r="B48" s="592" t="s">
        <v>1998</v>
      </c>
      <c r="C48" s="593" t="s">
        <v>757</v>
      </c>
      <c r="E48" s="591">
        <v>2</v>
      </c>
      <c r="F48" s="591">
        <v>-2</v>
      </c>
      <c r="G48" s="591">
        <v>0</v>
      </c>
      <c r="H48" s="596">
        <f t="shared" si="0"/>
        <v>0</v>
      </c>
      <c r="I48" s="596">
        <f t="shared" si="1"/>
        <v>0</v>
      </c>
      <c r="J48" s="596">
        <f t="shared" si="2"/>
        <v>0</v>
      </c>
    </row>
    <row r="49" spans="1:10" ht="12.75">
      <c r="A49" s="591">
        <v>41</v>
      </c>
      <c r="B49" s="592" t="s">
        <v>1999</v>
      </c>
      <c r="C49" s="593" t="s">
        <v>757</v>
      </c>
      <c r="E49" s="591">
        <v>2</v>
      </c>
      <c r="F49" s="591">
        <v>-2</v>
      </c>
      <c r="G49" s="591">
        <v>0</v>
      </c>
      <c r="H49" s="596">
        <f t="shared" si="0"/>
        <v>0</v>
      </c>
      <c r="I49" s="596">
        <f t="shared" si="1"/>
        <v>0</v>
      </c>
      <c r="J49" s="596">
        <f t="shared" si="2"/>
        <v>0</v>
      </c>
    </row>
    <row r="50" spans="1:10" ht="12.75">
      <c r="A50" s="591">
        <v>42</v>
      </c>
      <c r="B50" s="592" t="s">
        <v>2736</v>
      </c>
      <c r="C50" s="593" t="s">
        <v>231</v>
      </c>
      <c r="E50" s="607">
        <v>30</v>
      </c>
      <c r="F50" s="607">
        <v>-20</v>
      </c>
      <c r="G50" s="591">
        <v>0</v>
      </c>
      <c r="H50" s="596">
        <f t="shared" si="0"/>
        <v>0</v>
      </c>
      <c r="I50" s="596">
        <f t="shared" si="1"/>
        <v>0</v>
      </c>
      <c r="J50" s="596">
        <f t="shared" si="2"/>
        <v>0</v>
      </c>
    </row>
    <row r="51" spans="1:10" ht="12.75">
      <c r="A51" s="591">
        <v>43</v>
      </c>
      <c r="B51" s="606" t="s">
        <v>2001</v>
      </c>
      <c r="C51" s="582" t="s">
        <v>757</v>
      </c>
      <c r="E51" s="1122">
        <v>30</v>
      </c>
      <c r="F51" s="1122">
        <v>-20</v>
      </c>
      <c r="G51" s="591">
        <v>0</v>
      </c>
      <c r="H51" s="596">
        <f t="shared" si="0"/>
        <v>0</v>
      </c>
      <c r="I51" s="596">
        <f t="shared" si="1"/>
        <v>0</v>
      </c>
      <c r="J51" s="596">
        <f t="shared" si="2"/>
        <v>0</v>
      </c>
    </row>
    <row r="52" spans="1:10" ht="12.75">
      <c r="A52" s="591">
        <v>44</v>
      </c>
      <c r="B52" s="606" t="s">
        <v>2002</v>
      </c>
      <c r="C52" s="582" t="s">
        <v>231</v>
      </c>
      <c r="E52" s="1122">
        <v>10</v>
      </c>
      <c r="F52" s="1122">
        <v>-10</v>
      </c>
      <c r="G52" s="591">
        <v>0</v>
      </c>
      <c r="H52" s="596">
        <f t="shared" si="0"/>
        <v>0</v>
      </c>
      <c r="I52" s="596">
        <f t="shared" si="1"/>
        <v>0</v>
      </c>
      <c r="J52" s="596">
        <f t="shared" si="2"/>
        <v>0</v>
      </c>
    </row>
    <row r="53" spans="1:10" ht="12.75">
      <c r="A53" s="591">
        <v>45</v>
      </c>
      <c r="B53" s="592" t="s">
        <v>2003</v>
      </c>
      <c r="C53" s="593" t="s">
        <v>757</v>
      </c>
      <c r="E53" s="591">
        <v>20</v>
      </c>
      <c r="F53" s="591">
        <v>-16</v>
      </c>
      <c r="G53" s="591">
        <v>0</v>
      </c>
      <c r="H53" s="596">
        <f t="shared" si="0"/>
        <v>0</v>
      </c>
      <c r="I53" s="596">
        <f t="shared" si="1"/>
        <v>0</v>
      </c>
      <c r="J53" s="596">
        <f t="shared" si="2"/>
        <v>0</v>
      </c>
    </row>
    <row r="54" spans="1:10" ht="12.75">
      <c r="A54" s="591">
        <v>46</v>
      </c>
      <c r="B54" s="592" t="s">
        <v>2004</v>
      </c>
      <c r="C54" s="593" t="s">
        <v>1596</v>
      </c>
      <c r="E54" s="591">
        <v>40</v>
      </c>
      <c r="F54" s="591">
        <v>0</v>
      </c>
      <c r="G54" s="591">
        <v>0</v>
      </c>
      <c r="H54" s="596">
        <f t="shared" si="0"/>
        <v>0</v>
      </c>
      <c r="I54" s="596">
        <f t="shared" si="1"/>
        <v>0</v>
      </c>
      <c r="J54" s="596">
        <f t="shared" si="2"/>
        <v>0</v>
      </c>
    </row>
    <row r="55" spans="1:10" ht="12.75">
      <c r="A55" s="591">
        <v>47</v>
      </c>
      <c r="B55" s="592" t="s">
        <v>2005</v>
      </c>
      <c r="C55" s="593" t="s">
        <v>1596</v>
      </c>
      <c r="E55" s="591">
        <v>16</v>
      </c>
      <c r="F55" s="591">
        <v>0</v>
      </c>
      <c r="G55" s="591">
        <v>0</v>
      </c>
      <c r="H55" s="596">
        <f t="shared" si="0"/>
        <v>0</v>
      </c>
      <c r="I55" s="596">
        <f t="shared" si="1"/>
        <v>0</v>
      </c>
      <c r="J55" s="596">
        <f t="shared" si="2"/>
        <v>0</v>
      </c>
    </row>
    <row r="56" spans="1:10" ht="12.75">
      <c r="A56" s="591">
        <v>48</v>
      </c>
      <c r="B56" s="592" t="s">
        <v>2006</v>
      </c>
      <c r="C56" s="593" t="s">
        <v>1596</v>
      </c>
      <c r="E56" s="591">
        <v>40</v>
      </c>
      <c r="F56" s="591">
        <v>0</v>
      </c>
      <c r="G56" s="591">
        <v>0</v>
      </c>
      <c r="H56" s="596">
        <f t="shared" si="0"/>
        <v>0</v>
      </c>
      <c r="I56" s="596">
        <f t="shared" si="1"/>
        <v>0</v>
      </c>
      <c r="J56" s="596">
        <f t="shared" si="2"/>
        <v>0</v>
      </c>
    </row>
    <row r="57" spans="1:10" ht="12.75">
      <c r="A57" s="591">
        <v>49</v>
      </c>
      <c r="B57" s="606" t="s">
        <v>2007</v>
      </c>
      <c r="C57" s="582" t="s">
        <v>1596</v>
      </c>
      <c r="E57" s="604">
        <v>16</v>
      </c>
      <c r="F57" s="604">
        <v>0</v>
      </c>
      <c r="G57" s="591">
        <v>0</v>
      </c>
      <c r="H57" s="596">
        <f t="shared" si="0"/>
        <v>0</v>
      </c>
      <c r="I57" s="596">
        <f t="shared" si="1"/>
        <v>0</v>
      </c>
      <c r="J57" s="596">
        <f t="shared" si="2"/>
        <v>0</v>
      </c>
    </row>
    <row r="58" spans="1:10" ht="12.75">
      <c r="A58" s="591">
        <v>50</v>
      </c>
      <c r="B58" s="606" t="s">
        <v>2008</v>
      </c>
      <c r="C58" s="582" t="s">
        <v>1596</v>
      </c>
      <c r="E58" s="604">
        <v>16</v>
      </c>
      <c r="F58" s="604">
        <v>0</v>
      </c>
      <c r="G58" s="591">
        <v>0</v>
      </c>
      <c r="H58" s="596">
        <f t="shared" si="0"/>
        <v>0</v>
      </c>
      <c r="I58" s="596">
        <f t="shared" si="1"/>
        <v>0</v>
      </c>
      <c r="J58" s="596">
        <f t="shared" si="2"/>
        <v>0</v>
      </c>
    </row>
    <row r="59" spans="1:11" ht="23.4">
      <c r="A59" s="591">
        <v>51</v>
      </c>
      <c r="B59" s="1398" t="s">
        <v>2713</v>
      </c>
      <c r="C59" s="1399" t="s">
        <v>757</v>
      </c>
      <c r="D59" s="1400"/>
      <c r="E59" s="1401">
        <v>0</v>
      </c>
      <c r="F59" s="1402">
        <v>0</v>
      </c>
      <c r="G59" s="1402">
        <f>4+K59</f>
        <v>0</v>
      </c>
      <c r="H59" s="1400">
        <f t="shared" si="0"/>
        <v>0</v>
      </c>
      <c r="I59" s="1400">
        <f t="shared" si="1"/>
        <v>0</v>
      </c>
      <c r="J59" s="1400">
        <f t="shared" si="2"/>
        <v>0</v>
      </c>
      <c r="K59" s="595">
        <v>-4</v>
      </c>
    </row>
    <row r="60" spans="1:11" ht="46.2">
      <c r="A60" s="591">
        <v>52</v>
      </c>
      <c r="B60" s="1398" t="s">
        <v>2716</v>
      </c>
      <c r="C60" s="1399" t="s">
        <v>757</v>
      </c>
      <c r="D60" s="1400"/>
      <c r="E60" s="1401">
        <v>0</v>
      </c>
      <c r="F60" s="1402">
        <v>0</v>
      </c>
      <c r="G60" s="1402">
        <f>4+K60</f>
        <v>0</v>
      </c>
      <c r="H60" s="1400">
        <f t="shared" si="0"/>
        <v>0</v>
      </c>
      <c r="I60" s="1400">
        <f t="shared" si="1"/>
        <v>0</v>
      </c>
      <c r="J60" s="1400">
        <f t="shared" si="2"/>
        <v>0</v>
      </c>
      <c r="K60" s="595">
        <v>-4</v>
      </c>
    </row>
    <row r="61" spans="1:11" ht="23.4">
      <c r="A61" s="591">
        <v>53</v>
      </c>
      <c r="B61" s="1398" t="s">
        <v>2717</v>
      </c>
      <c r="C61" s="1399" t="s">
        <v>757</v>
      </c>
      <c r="D61" s="1400"/>
      <c r="E61" s="1401">
        <v>0</v>
      </c>
      <c r="F61" s="1402">
        <v>0</v>
      </c>
      <c r="G61" s="1402">
        <f>4+K61</f>
        <v>0</v>
      </c>
      <c r="H61" s="1400">
        <f t="shared" si="0"/>
        <v>0</v>
      </c>
      <c r="I61" s="1400">
        <f t="shared" si="1"/>
        <v>0</v>
      </c>
      <c r="J61" s="1400">
        <f t="shared" si="2"/>
        <v>0</v>
      </c>
      <c r="K61" s="595">
        <v>-4</v>
      </c>
    </row>
    <row r="62" spans="1:11" ht="23.4">
      <c r="A62" s="591">
        <v>54</v>
      </c>
      <c r="B62" s="1398" t="s">
        <v>2718</v>
      </c>
      <c r="C62" s="1399" t="s">
        <v>757</v>
      </c>
      <c r="D62" s="1400"/>
      <c r="E62" s="1401">
        <v>0</v>
      </c>
      <c r="F62" s="1402">
        <v>0</v>
      </c>
      <c r="G62" s="1402">
        <f>4+K62</f>
        <v>0</v>
      </c>
      <c r="H62" s="1400">
        <f t="shared" si="0"/>
        <v>0</v>
      </c>
      <c r="I62" s="1400">
        <f t="shared" si="1"/>
        <v>0</v>
      </c>
      <c r="J62" s="1400">
        <f t="shared" si="2"/>
        <v>0</v>
      </c>
      <c r="K62" s="595">
        <v>-4</v>
      </c>
    </row>
    <row r="63" spans="1:11" ht="34.8">
      <c r="A63" s="591">
        <v>55</v>
      </c>
      <c r="B63" s="1398" t="s">
        <v>2719</v>
      </c>
      <c r="C63" s="1399" t="s">
        <v>757</v>
      </c>
      <c r="D63" s="1400"/>
      <c r="E63" s="1401">
        <v>0</v>
      </c>
      <c r="F63" s="1402">
        <v>0</v>
      </c>
      <c r="G63" s="1402">
        <f>4+K63</f>
        <v>0</v>
      </c>
      <c r="H63" s="1400">
        <f t="shared" si="0"/>
        <v>0</v>
      </c>
      <c r="I63" s="1400">
        <f t="shared" si="1"/>
        <v>0</v>
      </c>
      <c r="J63" s="1400">
        <f t="shared" si="2"/>
        <v>0</v>
      </c>
      <c r="K63" s="1278">
        <v>-4</v>
      </c>
    </row>
    <row r="64" spans="1:10" ht="12.75">
      <c r="A64" s="591">
        <v>56</v>
      </c>
      <c r="B64" s="592" t="s">
        <v>2030</v>
      </c>
      <c r="C64" s="593" t="s">
        <v>757</v>
      </c>
      <c r="E64" s="591">
        <v>0</v>
      </c>
      <c r="F64" s="591">
        <v>0</v>
      </c>
      <c r="G64" s="591">
        <v>2</v>
      </c>
      <c r="H64" s="596">
        <f t="shared" si="0"/>
        <v>0</v>
      </c>
      <c r="I64" s="596">
        <f t="shared" si="1"/>
        <v>0</v>
      </c>
      <c r="J64" s="596">
        <f t="shared" si="2"/>
        <v>0</v>
      </c>
    </row>
    <row r="65" spans="1:10" ht="12.75">
      <c r="A65" s="591">
        <v>57</v>
      </c>
      <c r="B65" s="592" t="s">
        <v>2031</v>
      </c>
      <c r="C65" s="593" t="s">
        <v>757</v>
      </c>
      <c r="E65" s="591">
        <v>0</v>
      </c>
      <c r="F65" s="591">
        <v>0</v>
      </c>
      <c r="G65" s="591">
        <v>2</v>
      </c>
      <c r="H65" s="596">
        <f t="shared" si="0"/>
        <v>0</v>
      </c>
      <c r="I65" s="596">
        <f t="shared" si="1"/>
        <v>0</v>
      </c>
      <c r="J65" s="596">
        <f t="shared" si="2"/>
        <v>0</v>
      </c>
    </row>
    <row r="66" spans="1:11" ht="23.4">
      <c r="A66" s="591">
        <v>58</v>
      </c>
      <c r="B66" s="1297" t="s">
        <v>2720</v>
      </c>
      <c r="C66" s="1298" t="s">
        <v>231</v>
      </c>
      <c r="D66" s="1296"/>
      <c r="E66" s="1280">
        <v>0</v>
      </c>
      <c r="F66" s="1280">
        <v>0</v>
      </c>
      <c r="G66" s="1279">
        <f>108+K66</f>
        <v>8</v>
      </c>
      <c r="H66" s="1296">
        <f t="shared" si="0"/>
        <v>0</v>
      </c>
      <c r="I66" s="1296">
        <f t="shared" si="1"/>
        <v>0</v>
      </c>
      <c r="J66" s="1296">
        <f t="shared" si="2"/>
        <v>0</v>
      </c>
      <c r="K66" s="1278">
        <v>-100</v>
      </c>
    </row>
    <row r="67" spans="1:11" ht="23.4">
      <c r="A67" s="591">
        <v>59</v>
      </c>
      <c r="B67" s="1297" t="s">
        <v>2721</v>
      </c>
      <c r="C67" s="1298" t="s">
        <v>231</v>
      </c>
      <c r="D67" s="1296"/>
      <c r="E67" s="1280">
        <v>0</v>
      </c>
      <c r="F67" s="1280">
        <v>0</v>
      </c>
      <c r="G67" s="1279">
        <f>108+K67</f>
        <v>8</v>
      </c>
      <c r="H67" s="1296">
        <f t="shared" si="0"/>
        <v>0</v>
      </c>
      <c r="I67" s="1296">
        <f t="shared" si="1"/>
        <v>0</v>
      </c>
      <c r="J67" s="1296">
        <f t="shared" si="2"/>
        <v>0</v>
      </c>
      <c r="K67" s="1278">
        <v>-100</v>
      </c>
    </row>
    <row r="68" spans="1:11" ht="23.4">
      <c r="A68" s="591">
        <v>60</v>
      </c>
      <c r="B68" s="1297" t="s">
        <v>2722</v>
      </c>
      <c r="C68" s="1298" t="s">
        <v>231</v>
      </c>
      <c r="D68" s="1296"/>
      <c r="E68" s="1280">
        <v>0</v>
      </c>
      <c r="F68" s="1280">
        <v>0</v>
      </c>
      <c r="G68" s="1279">
        <f>108+K68</f>
        <v>8</v>
      </c>
      <c r="H68" s="1296">
        <f t="shared" si="0"/>
        <v>0</v>
      </c>
      <c r="I68" s="1296">
        <f t="shared" si="1"/>
        <v>0</v>
      </c>
      <c r="J68" s="1296">
        <f t="shared" si="2"/>
        <v>0</v>
      </c>
      <c r="K68" s="1278">
        <v>-100</v>
      </c>
    </row>
    <row r="69" spans="1:11" ht="23.4">
      <c r="A69" s="591">
        <v>61</v>
      </c>
      <c r="B69" s="1297" t="s">
        <v>2723</v>
      </c>
      <c r="C69" s="1298" t="s">
        <v>231</v>
      </c>
      <c r="D69" s="1296"/>
      <c r="E69" s="1280">
        <v>0</v>
      </c>
      <c r="F69" s="1280">
        <v>0</v>
      </c>
      <c r="G69" s="1280">
        <f>440+K69</f>
        <v>140</v>
      </c>
      <c r="H69" s="1296">
        <f>D69*E69</f>
        <v>0</v>
      </c>
      <c r="I69" s="1296">
        <f>D69*F69</f>
        <v>0</v>
      </c>
      <c r="J69" s="1296">
        <f>D69*G69</f>
        <v>0</v>
      </c>
      <c r="K69" s="1278">
        <v>-300</v>
      </c>
    </row>
    <row r="70" spans="1:11" ht="23.4">
      <c r="A70" s="591">
        <v>62</v>
      </c>
      <c r="B70" s="1297" t="s">
        <v>2724</v>
      </c>
      <c r="C70" s="1298" t="s">
        <v>231</v>
      </c>
      <c r="D70" s="1296"/>
      <c r="E70" s="1280">
        <v>0</v>
      </c>
      <c r="F70" s="1280">
        <v>0</v>
      </c>
      <c r="G70" s="1280">
        <f>240+K70</f>
        <v>40</v>
      </c>
      <c r="H70" s="1296">
        <f>D70*E70</f>
        <v>0</v>
      </c>
      <c r="I70" s="1296">
        <f>D70*F70</f>
        <v>0</v>
      </c>
      <c r="J70" s="1296">
        <f>D70*G70</f>
        <v>0</v>
      </c>
      <c r="K70" s="1278">
        <v>-200</v>
      </c>
    </row>
    <row r="71" spans="1:11" ht="23.4">
      <c r="A71" s="591">
        <v>63</v>
      </c>
      <c r="B71" s="1297" t="s">
        <v>2725</v>
      </c>
      <c r="C71" s="1298" t="s">
        <v>231</v>
      </c>
      <c r="D71" s="1296"/>
      <c r="E71" s="1280">
        <v>0</v>
      </c>
      <c r="F71" s="1280">
        <v>0</v>
      </c>
      <c r="G71" s="1280">
        <f>180+K71</f>
        <v>30</v>
      </c>
      <c r="H71" s="1296">
        <f t="shared" si="0"/>
        <v>0</v>
      </c>
      <c r="I71" s="1296">
        <f t="shared" si="1"/>
        <v>0</v>
      </c>
      <c r="J71" s="1296">
        <f t="shared" si="2"/>
        <v>0</v>
      </c>
      <c r="K71" s="1278">
        <v>-150</v>
      </c>
    </row>
    <row r="72" spans="1:10" ht="12.75">
      <c r="A72" s="591">
        <v>64</v>
      </c>
      <c r="B72" s="592" t="s">
        <v>2032</v>
      </c>
      <c r="C72" s="593" t="s">
        <v>1596</v>
      </c>
      <c r="E72" s="591">
        <v>0</v>
      </c>
      <c r="F72" s="591">
        <v>0</v>
      </c>
      <c r="G72" s="591">
        <v>4</v>
      </c>
      <c r="H72" s="596">
        <f t="shared" si="0"/>
        <v>0</v>
      </c>
      <c r="I72" s="596">
        <f t="shared" si="1"/>
        <v>0</v>
      </c>
      <c r="J72" s="596">
        <f t="shared" si="2"/>
        <v>0</v>
      </c>
    </row>
    <row r="73" spans="1:10" ht="12.75">
      <c r="A73" s="591">
        <v>65</v>
      </c>
      <c r="B73" s="592" t="s">
        <v>2033</v>
      </c>
      <c r="C73" s="593" t="s">
        <v>757</v>
      </c>
      <c r="E73" s="591">
        <v>0</v>
      </c>
      <c r="F73" s="591">
        <v>0</v>
      </c>
      <c r="G73" s="591">
        <v>20</v>
      </c>
      <c r="H73" s="596">
        <f t="shared" si="0"/>
        <v>0</v>
      </c>
      <c r="I73" s="596">
        <f t="shared" si="1"/>
        <v>0</v>
      </c>
      <c r="J73" s="596">
        <f t="shared" si="2"/>
        <v>0</v>
      </c>
    </row>
    <row r="74" spans="1:10" ht="12.75">
      <c r="A74" s="591">
        <v>66</v>
      </c>
      <c r="B74" s="592" t="s">
        <v>2034</v>
      </c>
      <c r="C74" s="593" t="s">
        <v>757</v>
      </c>
      <c r="E74" s="591">
        <v>0</v>
      </c>
      <c r="F74" s="591">
        <v>0</v>
      </c>
      <c r="G74" s="591">
        <v>1</v>
      </c>
      <c r="H74" s="596">
        <f aca="true" t="shared" si="3" ref="H74">D74*E74</f>
        <v>0</v>
      </c>
      <c r="I74" s="596">
        <f aca="true" t="shared" si="4" ref="I74">D74*F74</f>
        <v>0</v>
      </c>
      <c r="J74" s="596">
        <f aca="true" t="shared" si="5" ref="J74">D74*G74</f>
        <v>0</v>
      </c>
    </row>
    <row r="75" spans="1:10" ht="13.8" thickBot="1">
      <c r="A75" s="790"/>
      <c r="B75" s="791"/>
      <c r="C75" s="792"/>
      <c r="D75" s="793"/>
      <c r="E75" s="792"/>
      <c r="F75" s="792"/>
      <c r="G75" s="794"/>
      <c r="H75" s="794"/>
      <c r="I75" s="793"/>
      <c r="J75" s="794"/>
    </row>
    <row r="76" spans="1:2" ht="12.75">
      <c r="A76" s="591"/>
      <c r="B76" s="592"/>
    </row>
    <row r="77" spans="2:12" ht="15.6">
      <c r="B77" s="1138" t="s">
        <v>2035</v>
      </c>
      <c r="C77" s="796"/>
      <c r="D77" s="797"/>
      <c r="E77" s="797"/>
      <c r="F77" s="797"/>
      <c r="G77" s="797"/>
      <c r="H77" s="778">
        <f>SUM(H1:H58)+H64+H65+H66+H67+H68+H69+H70+H71+H72+H73+H74</f>
        <v>0</v>
      </c>
      <c r="I77" s="779"/>
      <c r="J77" s="778"/>
      <c r="L77" s="610"/>
    </row>
    <row r="78" spans="2:10" ht="12.75">
      <c r="B78" s="795" t="s">
        <v>1583</v>
      </c>
      <c r="C78" s="796"/>
      <c r="D78" s="797"/>
      <c r="E78" s="797"/>
      <c r="F78" s="797"/>
      <c r="G78" s="797"/>
      <c r="H78" s="798"/>
      <c r="I78" s="778">
        <f>SUM(I1:I58)+I64+I65+I66+I67+I68+I69+I70+I71+I72+I73+I74</f>
        <v>0</v>
      </c>
      <c r="J78" s="798"/>
    </row>
    <row r="79" spans="2:10" ht="12.75">
      <c r="B79" s="795" t="s">
        <v>1584</v>
      </c>
      <c r="C79" s="796"/>
      <c r="D79" s="797"/>
      <c r="E79" s="797"/>
      <c r="F79" s="797"/>
      <c r="G79" s="797"/>
      <c r="H79" s="798"/>
      <c r="I79" s="778"/>
      <c r="J79" s="778">
        <f>SUM(J1:J58)+J64+J65+J66+J67+J68+J69+J70+J71+J72+J73+J74</f>
        <v>0</v>
      </c>
    </row>
    <row r="80" spans="2:10" ht="12.75">
      <c r="B80" s="795" t="s">
        <v>1585</v>
      </c>
      <c r="C80" s="796"/>
      <c r="D80" s="797"/>
      <c r="E80" s="797"/>
      <c r="F80" s="797"/>
      <c r="G80" s="797"/>
      <c r="H80" s="798"/>
      <c r="I80" s="798"/>
      <c r="J80" s="781">
        <f>SUM(H77:J79)</f>
        <v>0</v>
      </c>
    </row>
    <row r="81" spans="2:10" ht="12.75">
      <c r="B81" s="782" t="s">
        <v>1504</v>
      </c>
      <c r="J81" s="800">
        <f>J80-H77</f>
        <v>0</v>
      </c>
    </row>
  </sheetData>
  <mergeCells count="4">
    <mergeCell ref="A1:B1"/>
    <mergeCell ref="A2:B2"/>
    <mergeCell ref="E6:G6"/>
    <mergeCell ref="H6:J6"/>
  </mergeCells>
  <printOptions/>
  <pageMargins left="0.38" right="0.4" top="0.984251969" bottom="0.984251969" header="0.4921259845" footer="0.4921259845"/>
  <pageSetup fitToHeight="0" fitToWidth="1" horizontalDpi="300" verticalDpi="300" orientation="portrait" paperSize="9" scale="72" r:id="rId1"/>
  <headerFooter alignWithMargins="0">
    <oddFooter>&amp;CStránka &amp;P</oddFooter>
  </headerFooter>
  <rowBreaks count="1" manualBreakCount="1">
    <brk id="49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6"/>
  </sheetPr>
  <dimension ref="A1:BE51"/>
  <sheetViews>
    <sheetView workbookViewId="0" topLeftCell="A1">
      <selection activeCell="L32" sqref="L32"/>
    </sheetView>
  </sheetViews>
  <sheetFormatPr defaultColWidth="9.125" defaultRowHeight="12.75"/>
  <cols>
    <col min="1" max="1" width="2.00390625" style="288" customWidth="1"/>
    <col min="2" max="2" width="15.00390625" style="288" customWidth="1"/>
    <col min="3" max="3" width="15.875" style="288" customWidth="1"/>
    <col min="4" max="4" width="14.50390625" style="288" customWidth="1"/>
    <col min="5" max="5" width="13.50390625" style="288" customWidth="1"/>
    <col min="6" max="6" width="16.50390625" style="288" customWidth="1"/>
    <col min="7" max="7" width="15.375" style="288" customWidth="1"/>
    <col min="8" max="256" width="9.125" style="288" customWidth="1"/>
    <col min="257" max="257" width="2.00390625" style="288" customWidth="1"/>
    <col min="258" max="258" width="15.00390625" style="288" customWidth="1"/>
    <col min="259" max="259" width="15.875" style="288" customWidth="1"/>
    <col min="260" max="260" width="14.50390625" style="288" customWidth="1"/>
    <col min="261" max="261" width="13.50390625" style="288" customWidth="1"/>
    <col min="262" max="262" width="16.50390625" style="288" customWidth="1"/>
    <col min="263" max="263" width="15.375" style="288" customWidth="1"/>
    <col min="264" max="512" width="9.125" style="288" customWidth="1"/>
    <col min="513" max="513" width="2.00390625" style="288" customWidth="1"/>
    <col min="514" max="514" width="15.00390625" style="288" customWidth="1"/>
    <col min="515" max="515" width="15.875" style="288" customWidth="1"/>
    <col min="516" max="516" width="14.50390625" style="288" customWidth="1"/>
    <col min="517" max="517" width="13.50390625" style="288" customWidth="1"/>
    <col min="518" max="518" width="16.50390625" style="288" customWidth="1"/>
    <col min="519" max="519" width="15.375" style="288" customWidth="1"/>
    <col min="520" max="768" width="9.125" style="288" customWidth="1"/>
    <col min="769" max="769" width="2.00390625" style="288" customWidth="1"/>
    <col min="770" max="770" width="15.00390625" style="288" customWidth="1"/>
    <col min="771" max="771" width="15.875" style="288" customWidth="1"/>
    <col min="772" max="772" width="14.50390625" style="288" customWidth="1"/>
    <col min="773" max="773" width="13.50390625" style="288" customWidth="1"/>
    <col min="774" max="774" width="16.50390625" style="288" customWidth="1"/>
    <col min="775" max="775" width="15.375" style="288" customWidth="1"/>
    <col min="776" max="1024" width="9.125" style="288" customWidth="1"/>
    <col min="1025" max="1025" width="2.00390625" style="288" customWidth="1"/>
    <col min="1026" max="1026" width="15.00390625" style="288" customWidth="1"/>
    <col min="1027" max="1027" width="15.875" style="288" customWidth="1"/>
    <col min="1028" max="1028" width="14.50390625" style="288" customWidth="1"/>
    <col min="1029" max="1029" width="13.50390625" style="288" customWidth="1"/>
    <col min="1030" max="1030" width="16.50390625" style="288" customWidth="1"/>
    <col min="1031" max="1031" width="15.375" style="288" customWidth="1"/>
    <col min="1032" max="1280" width="9.125" style="288" customWidth="1"/>
    <col min="1281" max="1281" width="2.00390625" style="288" customWidth="1"/>
    <col min="1282" max="1282" width="15.00390625" style="288" customWidth="1"/>
    <col min="1283" max="1283" width="15.875" style="288" customWidth="1"/>
    <col min="1284" max="1284" width="14.50390625" style="288" customWidth="1"/>
    <col min="1285" max="1285" width="13.50390625" style="288" customWidth="1"/>
    <col min="1286" max="1286" width="16.50390625" style="288" customWidth="1"/>
    <col min="1287" max="1287" width="15.375" style="288" customWidth="1"/>
    <col min="1288" max="1536" width="9.125" style="288" customWidth="1"/>
    <col min="1537" max="1537" width="2.00390625" style="288" customWidth="1"/>
    <col min="1538" max="1538" width="15.00390625" style="288" customWidth="1"/>
    <col min="1539" max="1539" width="15.875" style="288" customWidth="1"/>
    <col min="1540" max="1540" width="14.50390625" style="288" customWidth="1"/>
    <col min="1541" max="1541" width="13.50390625" style="288" customWidth="1"/>
    <col min="1542" max="1542" width="16.50390625" style="288" customWidth="1"/>
    <col min="1543" max="1543" width="15.375" style="288" customWidth="1"/>
    <col min="1544" max="1792" width="9.125" style="288" customWidth="1"/>
    <col min="1793" max="1793" width="2.00390625" style="288" customWidth="1"/>
    <col min="1794" max="1794" width="15.00390625" style="288" customWidth="1"/>
    <col min="1795" max="1795" width="15.875" style="288" customWidth="1"/>
    <col min="1796" max="1796" width="14.50390625" style="288" customWidth="1"/>
    <col min="1797" max="1797" width="13.50390625" style="288" customWidth="1"/>
    <col min="1798" max="1798" width="16.50390625" style="288" customWidth="1"/>
    <col min="1799" max="1799" width="15.375" style="288" customWidth="1"/>
    <col min="1800" max="2048" width="9.125" style="288" customWidth="1"/>
    <col min="2049" max="2049" width="2.00390625" style="288" customWidth="1"/>
    <col min="2050" max="2050" width="15.00390625" style="288" customWidth="1"/>
    <col min="2051" max="2051" width="15.875" style="288" customWidth="1"/>
    <col min="2052" max="2052" width="14.50390625" style="288" customWidth="1"/>
    <col min="2053" max="2053" width="13.50390625" style="288" customWidth="1"/>
    <col min="2054" max="2054" width="16.50390625" style="288" customWidth="1"/>
    <col min="2055" max="2055" width="15.375" style="288" customWidth="1"/>
    <col min="2056" max="2304" width="9.125" style="288" customWidth="1"/>
    <col min="2305" max="2305" width="2.00390625" style="288" customWidth="1"/>
    <col min="2306" max="2306" width="15.00390625" style="288" customWidth="1"/>
    <col min="2307" max="2307" width="15.875" style="288" customWidth="1"/>
    <col min="2308" max="2308" width="14.50390625" style="288" customWidth="1"/>
    <col min="2309" max="2309" width="13.50390625" style="288" customWidth="1"/>
    <col min="2310" max="2310" width="16.50390625" style="288" customWidth="1"/>
    <col min="2311" max="2311" width="15.375" style="288" customWidth="1"/>
    <col min="2312" max="2560" width="9.125" style="288" customWidth="1"/>
    <col min="2561" max="2561" width="2.00390625" style="288" customWidth="1"/>
    <col min="2562" max="2562" width="15.00390625" style="288" customWidth="1"/>
    <col min="2563" max="2563" width="15.875" style="288" customWidth="1"/>
    <col min="2564" max="2564" width="14.50390625" style="288" customWidth="1"/>
    <col min="2565" max="2565" width="13.50390625" style="288" customWidth="1"/>
    <col min="2566" max="2566" width="16.50390625" style="288" customWidth="1"/>
    <col min="2567" max="2567" width="15.375" style="288" customWidth="1"/>
    <col min="2568" max="2816" width="9.125" style="288" customWidth="1"/>
    <col min="2817" max="2817" width="2.00390625" style="288" customWidth="1"/>
    <col min="2818" max="2818" width="15.00390625" style="288" customWidth="1"/>
    <col min="2819" max="2819" width="15.875" style="288" customWidth="1"/>
    <col min="2820" max="2820" width="14.50390625" style="288" customWidth="1"/>
    <col min="2821" max="2821" width="13.50390625" style="288" customWidth="1"/>
    <col min="2822" max="2822" width="16.50390625" style="288" customWidth="1"/>
    <col min="2823" max="2823" width="15.375" style="288" customWidth="1"/>
    <col min="2824" max="3072" width="9.125" style="288" customWidth="1"/>
    <col min="3073" max="3073" width="2.00390625" style="288" customWidth="1"/>
    <col min="3074" max="3074" width="15.00390625" style="288" customWidth="1"/>
    <col min="3075" max="3075" width="15.875" style="288" customWidth="1"/>
    <col min="3076" max="3076" width="14.50390625" style="288" customWidth="1"/>
    <col min="3077" max="3077" width="13.50390625" style="288" customWidth="1"/>
    <col min="3078" max="3078" width="16.50390625" style="288" customWidth="1"/>
    <col min="3079" max="3079" width="15.375" style="288" customWidth="1"/>
    <col min="3080" max="3328" width="9.125" style="288" customWidth="1"/>
    <col min="3329" max="3329" width="2.00390625" style="288" customWidth="1"/>
    <col min="3330" max="3330" width="15.00390625" style="288" customWidth="1"/>
    <col min="3331" max="3331" width="15.875" style="288" customWidth="1"/>
    <col min="3332" max="3332" width="14.50390625" style="288" customWidth="1"/>
    <col min="3333" max="3333" width="13.50390625" style="288" customWidth="1"/>
    <col min="3334" max="3334" width="16.50390625" style="288" customWidth="1"/>
    <col min="3335" max="3335" width="15.375" style="288" customWidth="1"/>
    <col min="3336" max="3584" width="9.125" style="288" customWidth="1"/>
    <col min="3585" max="3585" width="2.00390625" style="288" customWidth="1"/>
    <col min="3586" max="3586" width="15.00390625" style="288" customWidth="1"/>
    <col min="3587" max="3587" width="15.875" style="288" customWidth="1"/>
    <col min="3588" max="3588" width="14.50390625" style="288" customWidth="1"/>
    <col min="3589" max="3589" width="13.50390625" style="288" customWidth="1"/>
    <col min="3590" max="3590" width="16.50390625" style="288" customWidth="1"/>
    <col min="3591" max="3591" width="15.375" style="288" customWidth="1"/>
    <col min="3592" max="3840" width="9.125" style="288" customWidth="1"/>
    <col min="3841" max="3841" width="2.00390625" style="288" customWidth="1"/>
    <col min="3842" max="3842" width="15.00390625" style="288" customWidth="1"/>
    <col min="3843" max="3843" width="15.875" style="288" customWidth="1"/>
    <col min="3844" max="3844" width="14.50390625" style="288" customWidth="1"/>
    <col min="3845" max="3845" width="13.50390625" style="288" customWidth="1"/>
    <col min="3846" max="3846" width="16.50390625" style="288" customWidth="1"/>
    <col min="3847" max="3847" width="15.375" style="288" customWidth="1"/>
    <col min="3848" max="4096" width="9.125" style="288" customWidth="1"/>
    <col min="4097" max="4097" width="2.00390625" style="288" customWidth="1"/>
    <col min="4098" max="4098" width="15.00390625" style="288" customWidth="1"/>
    <col min="4099" max="4099" width="15.875" style="288" customWidth="1"/>
    <col min="4100" max="4100" width="14.50390625" style="288" customWidth="1"/>
    <col min="4101" max="4101" width="13.50390625" style="288" customWidth="1"/>
    <col min="4102" max="4102" width="16.50390625" style="288" customWidth="1"/>
    <col min="4103" max="4103" width="15.375" style="288" customWidth="1"/>
    <col min="4104" max="4352" width="9.125" style="288" customWidth="1"/>
    <col min="4353" max="4353" width="2.00390625" style="288" customWidth="1"/>
    <col min="4354" max="4354" width="15.00390625" style="288" customWidth="1"/>
    <col min="4355" max="4355" width="15.875" style="288" customWidth="1"/>
    <col min="4356" max="4356" width="14.50390625" style="288" customWidth="1"/>
    <col min="4357" max="4357" width="13.50390625" style="288" customWidth="1"/>
    <col min="4358" max="4358" width="16.50390625" style="288" customWidth="1"/>
    <col min="4359" max="4359" width="15.375" style="288" customWidth="1"/>
    <col min="4360" max="4608" width="9.125" style="288" customWidth="1"/>
    <col min="4609" max="4609" width="2.00390625" style="288" customWidth="1"/>
    <col min="4610" max="4610" width="15.00390625" style="288" customWidth="1"/>
    <col min="4611" max="4611" width="15.875" style="288" customWidth="1"/>
    <col min="4612" max="4612" width="14.50390625" style="288" customWidth="1"/>
    <col min="4613" max="4613" width="13.50390625" style="288" customWidth="1"/>
    <col min="4614" max="4614" width="16.50390625" style="288" customWidth="1"/>
    <col min="4615" max="4615" width="15.375" style="288" customWidth="1"/>
    <col min="4616" max="4864" width="9.125" style="288" customWidth="1"/>
    <col min="4865" max="4865" width="2.00390625" style="288" customWidth="1"/>
    <col min="4866" max="4866" width="15.00390625" style="288" customWidth="1"/>
    <col min="4867" max="4867" width="15.875" style="288" customWidth="1"/>
    <col min="4868" max="4868" width="14.50390625" style="288" customWidth="1"/>
    <col min="4869" max="4869" width="13.50390625" style="288" customWidth="1"/>
    <col min="4870" max="4870" width="16.50390625" style="288" customWidth="1"/>
    <col min="4871" max="4871" width="15.375" style="288" customWidth="1"/>
    <col min="4872" max="5120" width="9.125" style="288" customWidth="1"/>
    <col min="5121" max="5121" width="2.00390625" style="288" customWidth="1"/>
    <col min="5122" max="5122" width="15.00390625" style="288" customWidth="1"/>
    <col min="5123" max="5123" width="15.875" style="288" customWidth="1"/>
    <col min="5124" max="5124" width="14.50390625" style="288" customWidth="1"/>
    <col min="5125" max="5125" width="13.50390625" style="288" customWidth="1"/>
    <col min="5126" max="5126" width="16.50390625" style="288" customWidth="1"/>
    <col min="5127" max="5127" width="15.375" style="288" customWidth="1"/>
    <col min="5128" max="5376" width="9.125" style="288" customWidth="1"/>
    <col min="5377" max="5377" width="2.00390625" style="288" customWidth="1"/>
    <col min="5378" max="5378" width="15.00390625" style="288" customWidth="1"/>
    <col min="5379" max="5379" width="15.875" style="288" customWidth="1"/>
    <col min="5380" max="5380" width="14.50390625" style="288" customWidth="1"/>
    <col min="5381" max="5381" width="13.50390625" style="288" customWidth="1"/>
    <col min="5382" max="5382" width="16.50390625" style="288" customWidth="1"/>
    <col min="5383" max="5383" width="15.375" style="288" customWidth="1"/>
    <col min="5384" max="5632" width="9.125" style="288" customWidth="1"/>
    <col min="5633" max="5633" width="2.00390625" style="288" customWidth="1"/>
    <col min="5634" max="5634" width="15.00390625" style="288" customWidth="1"/>
    <col min="5635" max="5635" width="15.875" style="288" customWidth="1"/>
    <col min="5636" max="5636" width="14.50390625" style="288" customWidth="1"/>
    <col min="5637" max="5637" width="13.50390625" style="288" customWidth="1"/>
    <col min="5638" max="5638" width="16.50390625" style="288" customWidth="1"/>
    <col min="5639" max="5639" width="15.375" style="288" customWidth="1"/>
    <col min="5640" max="5888" width="9.125" style="288" customWidth="1"/>
    <col min="5889" max="5889" width="2.00390625" style="288" customWidth="1"/>
    <col min="5890" max="5890" width="15.00390625" style="288" customWidth="1"/>
    <col min="5891" max="5891" width="15.875" style="288" customWidth="1"/>
    <col min="5892" max="5892" width="14.50390625" style="288" customWidth="1"/>
    <col min="5893" max="5893" width="13.50390625" style="288" customWidth="1"/>
    <col min="5894" max="5894" width="16.50390625" style="288" customWidth="1"/>
    <col min="5895" max="5895" width="15.375" style="288" customWidth="1"/>
    <col min="5896" max="6144" width="9.125" style="288" customWidth="1"/>
    <col min="6145" max="6145" width="2.00390625" style="288" customWidth="1"/>
    <col min="6146" max="6146" width="15.00390625" style="288" customWidth="1"/>
    <col min="6147" max="6147" width="15.875" style="288" customWidth="1"/>
    <col min="6148" max="6148" width="14.50390625" style="288" customWidth="1"/>
    <col min="6149" max="6149" width="13.50390625" style="288" customWidth="1"/>
    <col min="6150" max="6150" width="16.50390625" style="288" customWidth="1"/>
    <col min="6151" max="6151" width="15.375" style="288" customWidth="1"/>
    <col min="6152" max="6400" width="9.125" style="288" customWidth="1"/>
    <col min="6401" max="6401" width="2.00390625" style="288" customWidth="1"/>
    <col min="6402" max="6402" width="15.00390625" style="288" customWidth="1"/>
    <col min="6403" max="6403" width="15.875" style="288" customWidth="1"/>
    <col min="6404" max="6404" width="14.50390625" style="288" customWidth="1"/>
    <col min="6405" max="6405" width="13.50390625" style="288" customWidth="1"/>
    <col min="6406" max="6406" width="16.50390625" style="288" customWidth="1"/>
    <col min="6407" max="6407" width="15.375" style="288" customWidth="1"/>
    <col min="6408" max="6656" width="9.125" style="288" customWidth="1"/>
    <col min="6657" max="6657" width="2.00390625" style="288" customWidth="1"/>
    <col min="6658" max="6658" width="15.00390625" style="288" customWidth="1"/>
    <col min="6659" max="6659" width="15.875" style="288" customWidth="1"/>
    <col min="6660" max="6660" width="14.50390625" style="288" customWidth="1"/>
    <col min="6661" max="6661" width="13.50390625" style="288" customWidth="1"/>
    <col min="6662" max="6662" width="16.50390625" style="288" customWidth="1"/>
    <col min="6663" max="6663" width="15.375" style="288" customWidth="1"/>
    <col min="6664" max="6912" width="9.125" style="288" customWidth="1"/>
    <col min="6913" max="6913" width="2.00390625" style="288" customWidth="1"/>
    <col min="6914" max="6914" width="15.00390625" style="288" customWidth="1"/>
    <col min="6915" max="6915" width="15.875" style="288" customWidth="1"/>
    <col min="6916" max="6916" width="14.50390625" style="288" customWidth="1"/>
    <col min="6917" max="6917" width="13.50390625" style="288" customWidth="1"/>
    <col min="6918" max="6918" width="16.50390625" style="288" customWidth="1"/>
    <col min="6919" max="6919" width="15.375" style="288" customWidth="1"/>
    <col min="6920" max="7168" width="9.125" style="288" customWidth="1"/>
    <col min="7169" max="7169" width="2.00390625" style="288" customWidth="1"/>
    <col min="7170" max="7170" width="15.00390625" style="288" customWidth="1"/>
    <col min="7171" max="7171" width="15.875" style="288" customWidth="1"/>
    <col min="7172" max="7172" width="14.50390625" style="288" customWidth="1"/>
    <col min="7173" max="7173" width="13.50390625" style="288" customWidth="1"/>
    <col min="7174" max="7174" width="16.50390625" style="288" customWidth="1"/>
    <col min="7175" max="7175" width="15.375" style="288" customWidth="1"/>
    <col min="7176" max="7424" width="9.125" style="288" customWidth="1"/>
    <col min="7425" max="7425" width="2.00390625" style="288" customWidth="1"/>
    <col min="7426" max="7426" width="15.00390625" style="288" customWidth="1"/>
    <col min="7427" max="7427" width="15.875" style="288" customWidth="1"/>
    <col min="7428" max="7428" width="14.50390625" style="288" customWidth="1"/>
    <col min="7429" max="7429" width="13.50390625" style="288" customWidth="1"/>
    <col min="7430" max="7430" width="16.50390625" style="288" customWidth="1"/>
    <col min="7431" max="7431" width="15.375" style="288" customWidth="1"/>
    <col min="7432" max="7680" width="9.125" style="288" customWidth="1"/>
    <col min="7681" max="7681" width="2.00390625" style="288" customWidth="1"/>
    <col min="7682" max="7682" width="15.00390625" style="288" customWidth="1"/>
    <col min="7683" max="7683" width="15.875" style="288" customWidth="1"/>
    <col min="7684" max="7684" width="14.50390625" style="288" customWidth="1"/>
    <col min="7685" max="7685" width="13.50390625" style="288" customWidth="1"/>
    <col min="7686" max="7686" width="16.50390625" style="288" customWidth="1"/>
    <col min="7687" max="7687" width="15.375" style="288" customWidth="1"/>
    <col min="7688" max="7936" width="9.125" style="288" customWidth="1"/>
    <col min="7937" max="7937" width="2.00390625" style="288" customWidth="1"/>
    <col min="7938" max="7938" width="15.00390625" style="288" customWidth="1"/>
    <col min="7939" max="7939" width="15.875" style="288" customWidth="1"/>
    <col min="7940" max="7940" width="14.50390625" style="288" customWidth="1"/>
    <col min="7941" max="7941" width="13.50390625" style="288" customWidth="1"/>
    <col min="7942" max="7942" width="16.50390625" style="288" customWidth="1"/>
    <col min="7943" max="7943" width="15.375" style="288" customWidth="1"/>
    <col min="7944" max="8192" width="9.125" style="288" customWidth="1"/>
    <col min="8193" max="8193" width="2.00390625" style="288" customWidth="1"/>
    <col min="8194" max="8194" width="15.00390625" style="288" customWidth="1"/>
    <col min="8195" max="8195" width="15.875" style="288" customWidth="1"/>
    <col min="8196" max="8196" width="14.50390625" style="288" customWidth="1"/>
    <col min="8197" max="8197" width="13.50390625" style="288" customWidth="1"/>
    <col min="8198" max="8198" width="16.50390625" style="288" customWidth="1"/>
    <col min="8199" max="8199" width="15.375" style="288" customWidth="1"/>
    <col min="8200" max="8448" width="9.125" style="288" customWidth="1"/>
    <col min="8449" max="8449" width="2.00390625" style="288" customWidth="1"/>
    <col min="8450" max="8450" width="15.00390625" style="288" customWidth="1"/>
    <col min="8451" max="8451" width="15.875" style="288" customWidth="1"/>
    <col min="8452" max="8452" width="14.50390625" style="288" customWidth="1"/>
    <col min="8453" max="8453" width="13.50390625" style="288" customWidth="1"/>
    <col min="8454" max="8454" width="16.50390625" style="288" customWidth="1"/>
    <col min="8455" max="8455" width="15.375" style="288" customWidth="1"/>
    <col min="8456" max="8704" width="9.125" style="288" customWidth="1"/>
    <col min="8705" max="8705" width="2.00390625" style="288" customWidth="1"/>
    <col min="8706" max="8706" width="15.00390625" style="288" customWidth="1"/>
    <col min="8707" max="8707" width="15.875" style="288" customWidth="1"/>
    <col min="8708" max="8708" width="14.50390625" style="288" customWidth="1"/>
    <col min="8709" max="8709" width="13.50390625" style="288" customWidth="1"/>
    <col min="8710" max="8710" width="16.50390625" style="288" customWidth="1"/>
    <col min="8711" max="8711" width="15.375" style="288" customWidth="1"/>
    <col min="8712" max="8960" width="9.125" style="288" customWidth="1"/>
    <col min="8961" max="8961" width="2.00390625" style="288" customWidth="1"/>
    <col min="8962" max="8962" width="15.00390625" style="288" customWidth="1"/>
    <col min="8963" max="8963" width="15.875" style="288" customWidth="1"/>
    <col min="8964" max="8964" width="14.50390625" style="288" customWidth="1"/>
    <col min="8965" max="8965" width="13.50390625" style="288" customWidth="1"/>
    <col min="8966" max="8966" width="16.50390625" style="288" customWidth="1"/>
    <col min="8967" max="8967" width="15.375" style="288" customWidth="1"/>
    <col min="8968" max="9216" width="9.125" style="288" customWidth="1"/>
    <col min="9217" max="9217" width="2.00390625" style="288" customWidth="1"/>
    <col min="9218" max="9218" width="15.00390625" style="288" customWidth="1"/>
    <col min="9219" max="9219" width="15.875" style="288" customWidth="1"/>
    <col min="9220" max="9220" width="14.50390625" style="288" customWidth="1"/>
    <col min="9221" max="9221" width="13.50390625" style="288" customWidth="1"/>
    <col min="9222" max="9222" width="16.50390625" style="288" customWidth="1"/>
    <col min="9223" max="9223" width="15.375" style="288" customWidth="1"/>
    <col min="9224" max="9472" width="9.125" style="288" customWidth="1"/>
    <col min="9473" max="9473" width="2.00390625" style="288" customWidth="1"/>
    <col min="9474" max="9474" width="15.00390625" style="288" customWidth="1"/>
    <col min="9475" max="9475" width="15.875" style="288" customWidth="1"/>
    <col min="9476" max="9476" width="14.50390625" style="288" customWidth="1"/>
    <col min="9477" max="9477" width="13.50390625" style="288" customWidth="1"/>
    <col min="9478" max="9478" width="16.50390625" style="288" customWidth="1"/>
    <col min="9479" max="9479" width="15.375" style="288" customWidth="1"/>
    <col min="9480" max="9728" width="9.125" style="288" customWidth="1"/>
    <col min="9729" max="9729" width="2.00390625" style="288" customWidth="1"/>
    <col min="9730" max="9730" width="15.00390625" style="288" customWidth="1"/>
    <col min="9731" max="9731" width="15.875" style="288" customWidth="1"/>
    <col min="9732" max="9732" width="14.50390625" style="288" customWidth="1"/>
    <col min="9733" max="9733" width="13.50390625" style="288" customWidth="1"/>
    <col min="9734" max="9734" width="16.50390625" style="288" customWidth="1"/>
    <col min="9735" max="9735" width="15.375" style="288" customWidth="1"/>
    <col min="9736" max="9984" width="9.125" style="288" customWidth="1"/>
    <col min="9985" max="9985" width="2.00390625" style="288" customWidth="1"/>
    <col min="9986" max="9986" width="15.00390625" style="288" customWidth="1"/>
    <col min="9987" max="9987" width="15.875" style="288" customWidth="1"/>
    <col min="9988" max="9988" width="14.50390625" style="288" customWidth="1"/>
    <col min="9989" max="9989" width="13.50390625" style="288" customWidth="1"/>
    <col min="9990" max="9990" width="16.50390625" style="288" customWidth="1"/>
    <col min="9991" max="9991" width="15.375" style="288" customWidth="1"/>
    <col min="9992" max="10240" width="9.125" style="288" customWidth="1"/>
    <col min="10241" max="10241" width="2.00390625" style="288" customWidth="1"/>
    <col min="10242" max="10242" width="15.00390625" style="288" customWidth="1"/>
    <col min="10243" max="10243" width="15.875" style="288" customWidth="1"/>
    <col min="10244" max="10244" width="14.50390625" style="288" customWidth="1"/>
    <col min="10245" max="10245" width="13.50390625" style="288" customWidth="1"/>
    <col min="10246" max="10246" width="16.50390625" style="288" customWidth="1"/>
    <col min="10247" max="10247" width="15.375" style="288" customWidth="1"/>
    <col min="10248" max="10496" width="9.125" style="288" customWidth="1"/>
    <col min="10497" max="10497" width="2.00390625" style="288" customWidth="1"/>
    <col min="10498" max="10498" width="15.00390625" style="288" customWidth="1"/>
    <col min="10499" max="10499" width="15.875" style="288" customWidth="1"/>
    <col min="10500" max="10500" width="14.50390625" style="288" customWidth="1"/>
    <col min="10501" max="10501" width="13.50390625" style="288" customWidth="1"/>
    <col min="10502" max="10502" width="16.50390625" style="288" customWidth="1"/>
    <col min="10503" max="10503" width="15.375" style="288" customWidth="1"/>
    <col min="10504" max="10752" width="9.125" style="288" customWidth="1"/>
    <col min="10753" max="10753" width="2.00390625" style="288" customWidth="1"/>
    <col min="10754" max="10754" width="15.00390625" style="288" customWidth="1"/>
    <col min="10755" max="10755" width="15.875" style="288" customWidth="1"/>
    <col min="10756" max="10756" width="14.50390625" style="288" customWidth="1"/>
    <col min="10757" max="10757" width="13.50390625" style="288" customWidth="1"/>
    <col min="10758" max="10758" width="16.50390625" style="288" customWidth="1"/>
    <col min="10759" max="10759" width="15.375" style="288" customWidth="1"/>
    <col min="10760" max="11008" width="9.125" style="288" customWidth="1"/>
    <col min="11009" max="11009" width="2.00390625" style="288" customWidth="1"/>
    <col min="11010" max="11010" width="15.00390625" style="288" customWidth="1"/>
    <col min="11011" max="11011" width="15.875" style="288" customWidth="1"/>
    <col min="11012" max="11012" width="14.50390625" style="288" customWidth="1"/>
    <col min="11013" max="11013" width="13.50390625" style="288" customWidth="1"/>
    <col min="11014" max="11014" width="16.50390625" style="288" customWidth="1"/>
    <col min="11015" max="11015" width="15.375" style="288" customWidth="1"/>
    <col min="11016" max="11264" width="9.125" style="288" customWidth="1"/>
    <col min="11265" max="11265" width="2.00390625" style="288" customWidth="1"/>
    <col min="11266" max="11266" width="15.00390625" style="288" customWidth="1"/>
    <col min="11267" max="11267" width="15.875" style="288" customWidth="1"/>
    <col min="11268" max="11268" width="14.50390625" style="288" customWidth="1"/>
    <col min="11269" max="11269" width="13.50390625" style="288" customWidth="1"/>
    <col min="11270" max="11270" width="16.50390625" style="288" customWidth="1"/>
    <col min="11271" max="11271" width="15.375" style="288" customWidth="1"/>
    <col min="11272" max="11520" width="9.125" style="288" customWidth="1"/>
    <col min="11521" max="11521" width="2.00390625" style="288" customWidth="1"/>
    <col min="11522" max="11522" width="15.00390625" style="288" customWidth="1"/>
    <col min="11523" max="11523" width="15.875" style="288" customWidth="1"/>
    <col min="11524" max="11524" width="14.50390625" style="288" customWidth="1"/>
    <col min="11525" max="11525" width="13.50390625" style="288" customWidth="1"/>
    <col min="11526" max="11526" width="16.50390625" style="288" customWidth="1"/>
    <col min="11527" max="11527" width="15.375" style="288" customWidth="1"/>
    <col min="11528" max="11776" width="9.125" style="288" customWidth="1"/>
    <col min="11777" max="11777" width="2.00390625" style="288" customWidth="1"/>
    <col min="11778" max="11778" width="15.00390625" style="288" customWidth="1"/>
    <col min="11779" max="11779" width="15.875" style="288" customWidth="1"/>
    <col min="11780" max="11780" width="14.50390625" style="288" customWidth="1"/>
    <col min="11781" max="11781" width="13.50390625" style="288" customWidth="1"/>
    <col min="11782" max="11782" width="16.50390625" style="288" customWidth="1"/>
    <col min="11783" max="11783" width="15.375" style="288" customWidth="1"/>
    <col min="11784" max="12032" width="9.125" style="288" customWidth="1"/>
    <col min="12033" max="12033" width="2.00390625" style="288" customWidth="1"/>
    <col min="12034" max="12034" width="15.00390625" style="288" customWidth="1"/>
    <col min="12035" max="12035" width="15.875" style="288" customWidth="1"/>
    <col min="12036" max="12036" width="14.50390625" style="288" customWidth="1"/>
    <col min="12037" max="12037" width="13.50390625" style="288" customWidth="1"/>
    <col min="12038" max="12038" width="16.50390625" style="288" customWidth="1"/>
    <col min="12039" max="12039" width="15.375" style="288" customWidth="1"/>
    <col min="12040" max="12288" width="9.125" style="288" customWidth="1"/>
    <col min="12289" max="12289" width="2.00390625" style="288" customWidth="1"/>
    <col min="12290" max="12290" width="15.00390625" style="288" customWidth="1"/>
    <col min="12291" max="12291" width="15.875" style="288" customWidth="1"/>
    <col min="12292" max="12292" width="14.50390625" style="288" customWidth="1"/>
    <col min="12293" max="12293" width="13.50390625" style="288" customWidth="1"/>
    <col min="12294" max="12294" width="16.50390625" style="288" customWidth="1"/>
    <col min="12295" max="12295" width="15.375" style="288" customWidth="1"/>
    <col min="12296" max="12544" width="9.125" style="288" customWidth="1"/>
    <col min="12545" max="12545" width="2.00390625" style="288" customWidth="1"/>
    <col min="12546" max="12546" width="15.00390625" style="288" customWidth="1"/>
    <col min="12547" max="12547" width="15.875" style="288" customWidth="1"/>
    <col min="12548" max="12548" width="14.50390625" style="288" customWidth="1"/>
    <col min="12549" max="12549" width="13.50390625" style="288" customWidth="1"/>
    <col min="12550" max="12550" width="16.50390625" style="288" customWidth="1"/>
    <col min="12551" max="12551" width="15.375" style="288" customWidth="1"/>
    <col min="12552" max="12800" width="9.125" style="288" customWidth="1"/>
    <col min="12801" max="12801" width="2.00390625" style="288" customWidth="1"/>
    <col min="12802" max="12802" width="15.00390625" style="288" customWidth="1"/>
    <col min="12803" max="12803" width="15.875" style="288" customWidth="1"/>
    <col min="12804" max="12804" width="14.50390625" style="288" customWidth="1"/>
    <col min="12805" max="12805" width="13.50390625" style="288" customWidth="1"/>
    <col min="12806" max="12806" width="16.50390625" style="288" customWidth="1"/>
    <col min="12807" max="12807" width="15.375" style="288" customWidth="1"/>
    <col min="12808" max="13056" width="9.125" style="288" customWidth="1"/>
    <col min="13057" max="13057" width="2.00390625" style="288" customWidth="1"/>
    <col min="13058" max="13058" width="15.00390625" style="288" customWidth="1"/>
    <col min="13059" max="13059" width="15.875" style="288" customWidth="1"/>
    <col min="13060" max="13060" width="14.50390625" style="288" customWidth="1"/>
    <col min="13061" max="13061" width="13.50390625" style="288" customWidth="1"/>
    <col min="13062" max="13062" width="16.50390625" style="288" customWidth="1"/>
    <col min="13063" max="13063" width="15.375" style="288" customWidth="1"/>
    <col min="13064" max="13312" width="9.125" style="288" customWidth="1"/>
    <col min="13313" max="13313" width="2.00390625" style="288" customWidth="1"/>
    <col min="13314" max="13314" width="15.00390625" style="288" customWidth="1"/>
    <col min="13315" max="13315" width="15.875" style="288" customWidth="1"/>
    <col min="13316" max="13316" width="14.50390625" style="288" customWidth="1"/>
    <col min="13317" max="13317" width="13.50390625" style="288" customWidth="1"/>
    <col min="13318" max="13318" width="16.50390625" style="288" customWidth="1"/>
    <col min="13319" max="13319" width="15.375" style="288" customWidth="1"/>
    <col min="13320" max="13568" width="9.125" style="288" customWidth="1"/>
    <col min="13569" max="13569" width="2.00390625" style="288" customWidth="1"/>
    <col min="13570" max="13570" width="15.00390625" style="288" customWidth="1"/>
    <col min="13571" max="13571" width="15.875" style="288" customWidth="1"/>
    <col min="13572" max="13572" width="14.50390625" style="288" customWidth="1"/>
    <col min="13573" max="13573" width="13.50390625" style="288" customWidth="1"/>
    <col min="13574" max="13574" width="16.50390625" style="288" customWidth="1"/>
    <col min="13575" max="13575" width="15.375" style="288" customWidth="1"/>
    <col min="13576" max="13824" width="9.125" style="288" customWidth="1"/>
    <col min="13825" max="13825" width="2.00390625" style="288" customWidth="1"/>
    <col min="13826" max="13826" width="15.00390625" style="288" customWidth="1"/>
    <col min="13827" max="13827" width="15.875" style="288" customWidth="1"/>
    <col min="13828" max="13828" width="14.50390625" style="288" customWidth="1"/>
    <col min="13829" max="13829" width="13.50390625" style="288" customWidth="1"/>
    <col min="13830" max="13830" width="16.50390625" style="288" customWidth="1"/>
    <col min="13831" max="13831" width="15.375" style="288" customWidth="1"/>
    <col min="13832" max="14080" width="9.125" style="288" customWidth="1"/>
    <col min="14081" max="14081" width="2.00390625" style="288" customWidth="1"/>
    <col min="14082" max="14082" width="15.00390625" style="288" customWidth="1"/>
    <col min="14083" max="14083" width="15.875" style="288" customWidth="1"/>
    <col min="14084" max="14084" width="14.50390625" style="288" customWidth="1"/>
    <col min="14085" max="14085" width="13.50390625" style="288" customWidth="1"/>
    <col min="14086" max="14086" width="16.50390625" style="288" customWidth="1"/>
    <col min="14087" max="14087" width="15.375" style="288" customWidth="1"/>
    <col min="14088" max="14336" width="9.125" style="288" customWidth="1"/>
    <col min="14337" max="14337" width="2.00390625" style="288" customWidth="1"/>
    <col min="14338" max="14338" width="15.00390625" style="288" customWidth="1"/>
    <col min="14339" max="14339" width="15.875" style="288" customWidth="1"/>
    <col min="14340" max="14340" width="14.50390625" style="288" customWidth="1"/>
    <col min="14341" max="14341" width="13.50390625" style="288" customWidth="1"/>
    <col min="14342" max="14342" width="16.50390625" style="288" customWidth="1"/>
    <col min="14343" max="14343" width="15.375" style="288" customWidth="1"/>
    <col min="14344" max="14592" width="9.125" style="288" customWidth="1"/>
    <col min="14593" max="14593" width="2.00390625" style="288" customWidth="1"/>
    <col min="14594" max="14594" width="15.00390625" style="288" customWidth="1"/>
    <col min="14595" max="14595" width="15.875" style="288" customWidth="1"/>
    <col min="14596" max="14596" width="14.50390625" style="288" customWidth="1"/>
    <col min="14597" max="14597" width="13.50390625" style="288" customWidth="1"/>
    <col min="14598" max="14598" width="16.50390625" style="288" customWidth="1"/>
    <col min="14599" max="14599" width="15.375" style="288" customWidth="1"/>
    <col min="14600" max="14848" width="9.125" style="288" customWidth="1"/>
    <col min="14849" max="14849" width="2.00390625" style="288" customWidth="1"/>
    <col min="14850" max="14850" width="15.00390625" style="288" customWidth="1"/>
    <col min="14851" max="14851" width="15.875" style="288" customWidth="1"/>
    <col min="14852" max="14852" width="14.50390625" style="288" customWidth="1"/>
    <col min="14853" max="14853" width="13.50390625" style="288" customWidth="1"/>
    <col min="14854" max="14854" width="16.50390625" style="288" customWidth="1"/>
    <col min="14855" max="14855" width="15.375" style="288" customWidth="1"/>
    <col min="14856" max="15104" width="9.125" style="288" customWidth="1"/>
    <col min="15105" max="15105" width="2.00390625" style="288" customWidth="1"/>
    <col min="15106" max="15106" width="15.00390625" style="288" customWidth="1"/>
    <col min="15107" max="15107" width="15.875" style="288" customWidth="1"/>
    <col min="15108" max="15108" width="14.50390625" style="288" customWidth="1"/>
    <col min="15109" max="15109" width="13.50390625" style="288" customWidth="1"/>
    <col min="15110" max="15110" width="16.50390625" style="288" customWidth="1"/>
    <col min="15111" max="15111" width="15.375" style="288" customWidth="1"/>
    <col min="15112" max="15360" width="9.125" style="288" customWidth="1"/>
    <col min="15361" max="15361" width="2.00390625" style="288" customWidth="1"/>
    <col min="15362" max="15362" width="15.00390625" style="288" customWidth="1"/>
    <col min="15363" max="15363" width="15.875" style="288" customWidth="1"/>
    <col min="15364" max="15364" width="14.50390625" style="288" customWidth="1"/>
    <col min="15365" max="15365" width="13.50390625" style="288" customWidth="1"/>
    <col min="15366" max="15366" width="16.50390625" style="288" customWidth="1"/>
    <col min="15367" max="15367" width="15.375" style="288" customWidth="1"/>
    <col min="15368" max="15616" width="9.125" style="288" customWidth="1"/>
    <col min="15617" max="15617" width="2.00390625" style="288" customWidth="1"/>
    <col min="15618" max="15618" width="15.00390625" style="288" customWidth="1"/>
    <col min="15619" max="15619" width="15.875" style="288" customWidth="1"/>
    <col min="15620" max="15620" width="14.50390625" style="288" customWidth="1"/>
    <col min="15621" max="15621" width="13.50390625" style="288" customWidth="1"/>
    <col min="15622" max="15622" width="16.50390625" style="288" customWidth="1"/>
    <col min="15623" max="15623" width="15.375" style="288" customWidth="1"/>
    <col min="15624" max="15872" width="9.125" style="288" customWidth="1"/>
    <col min="15873" max="15873" width="2.00390625" style="288" customWidth="1"/>
    <col min="15874" max="15874" width="15.00390625" style="288" customWidth="1"/>
    <col min="15875" max="15875" width="15.875" style="288" customWidth="1"/>
    <col min="15876" max="15876" width="14.50390625" style="288" customWidth="1"/>
    <col min="15877" max="15877" width="13.50390625" style="288" customWidth="1"/>
    <col min="15878" max="15878" width="16.50390625" style="288" customWidth="1"/>
    <col min="15879" max="15879" width="15.375" style="288" customWidth="1"/>
    <col min="15880" max="16128" width="9.125" style="288" customWidth="1"/>
    <col min="16129" max="16129" width="2.00390625" style="288" customWidth="1"/>
    <col min="16130" max="16130" width="15.00390625" style="288" customWidth="1"/>
    <col min="16131" max="16131" width="15.875" style="288" customWidth="1"/>
    <col min="16132" max="16132" width="14.50390625" style="288" customWidth="1"/>
    <col min="16133" max="16133" width="13.50390625" style="288" customWidth="1"/>
    <col min="16134" max="16134" width="16.50390625" style="288" customWidth="1"/>
    <col min="16135" max="16135" width="15.375" style="288" customWidth="1"/>
    <col min="16136" max="16384" width="9.125" style="288" customWidth="1"/>
  </cols>
  <sheetData>
    <row r="1" spans="1:7" ht="24.75" customHeight="1" thickBot="1">
      <c r="A1" s="286" t="s">
        <v>126</v>
      </c>
      <c r="B1" s="287"/>
      <c r="C1" s="287"/>
      <c r="D1" s="287"/>
      <c r="E1" s="287"/>
      <c r="F1" s="287"/>
      <c r="G1" s="287"/>
    </row>
    <row r="2" spans="1:7" ht="12.75" customHeight="1">
      <c r="A2" s="289" t="s">
        <v>125</v>
      </c>
      <c r="B2" s="290"/>
      <c r="C2" s="291" t="s">
        <v>80</v>
      </c>
      <c r="D2" s="291" t="s">
        <v>77</v>
      </c>
      <c r="E2" s="292"/>
      <c r="F2" s="293" t="s">
        <v>124</v>
      </c>
      <c r="G2" s="294"/>
    </row>
    <row r="3" spans="1:7" ht="3" customHeight="1" hidden="1">
      <c r="A3" s="295"/>
      <c r="B3" s="296"/>
      <c r="C3" s="297"/>
      <c r="D3" s="297"/>
      <c r="E3" s="298"/>
      <c r="F3" s="299"/>
      <c r="G3" s="300"/>
    </row>
    <row r="4" spans="1:7" ht="12" customHeight="1">
      <c r="A4" s="301" t="s">
        <v>123</v>
      </c>
      <c r="B4" s="296"/>
      <c r="C4" s="297"/>
      <c r="D4" s="297"/>
      <c r="E4" s="298"/>
      <c r="F4" s="299" t="s">
        <v>122</v>
      </c>
      <c r="G4" s="302"/>
    </row>
    <row r="5" spans="1:7" ht="12.9" customHeight="1">
      <c r="A5" s="303" t="s">
        <v>22</v>
      </c>
      <c r="B5" s="304"/>
      <c r="C5" s="305" t="s">
        <v>23</v>
      </c>
      <c r="D5" s="306"/>
      <c r="E5" s="304"/>
      <c r="F5" s="299" t="s">
        <v>121</v>
      </c>
      <c r="G5" s="300"/>
    </row>
    <row r="6" spans="1:15" ht="12.9" customHeight="1">
      <c r="A6" s="301" t="s">
        <v>120</v>
      </c>
      <c r="B6" s="296"/>
      <c r="C6" s="297"/>
      <c r="D6" s="297"/>
      <c r="E6" s="298"/>
      <c r="F6" s="307" t="s">
        <v>119</v>
      </c>
      <c r="G6" s="308">
        <v>0</v>
      </c>
      <c r="O6" s="309"/>
    </row>
    <row r="7" spans="1:7" ht="12.9" customHeight="1">
      <c r="A7" s="310" t="s">
        <v>12</v>
      </c>
      <c r="B7" s="311"/>
      <c r="C7" s="312" t="s">
        <v>13</v>
      </c>
      <c r="D7" s="313"/>
      <c r="E7" s="313"/>
      <c r="F7" s="314" t="s">
        <v>118</v>
      </c>
      <c r="G7" s="308">
        <f>IF(G6=0,,ROUND((F30+F32)/G6,1))</f>
        <v>0</v>
      </c>
    </row>
    <row r="8" spans="1:9" ht="12.75">
      <c r="A8" s="315" t="s">
        <v>117</v>
      </c>
      <c r="B8" s="299"/>
      <c r="C8" s="1603"/>
      <c r="D8" s="1603"/>
      <c r="E8" s="1604"/>
      <c r="F8" s="316" t="s">
        <v>116</v>
      </c>
      <c r="G8" s="317"/>
      <c r="H8" s="318"/>
      <c r="I8" s="319"/>
    </row>
    <row r="9" spans="1:8" ht="12.75">
      <c r="A9" s="315" t="s">
        <v>115</v>
      </c>
      <c r="B9" s="299"/>
      <c r="C9" s="1603"/>
      <c r="D9" s="1603"/>
      <c r="E9" s="1604"/>
      <c r="F9" s="299"/>
      <c r="G9" s="320"/>
      <c r="H9" s="321"/>
    </row>
    <row r="10" spans="1:8" ht="12.75">
      <c r="A10" s="315" t="s">
        <v>114</v>
      </c>
      <c r="B10" s="299"/>
      <c r="C10" s="1603"/>
      <c r="D10" s="1603"/>
      <c r="E10" s="1603"/>
      <c r="F10" s="322"/>
      <c r="G10" s="323"/>
      <c r="H10" s="324"/>
    </row>
    <row r="11" spans="1:57" ht="13.5" customHeight="1">
      <c r="A11" s="315" t="s">
        <v>113</v>
      </c>
      <c r="B11" s="299"/>
      <c r="C11" s="1603"/>
      <c r="D11" s="1603"/>
      <c r="E11" s="1603"/>
      <c r="F11" s="325" t="s">
        <v>112</v>
      </c>
      <c r="G11" s="326"/>
      <c r="H11" s="321"/>
      <c r="BA11" s="327"/>
      <c r="BB11" s="327"/>
      <c r="BC11" s="327"/>
      <c r="BD11" s="327"/>
      <c r="BE11" s="327"/>
    </row>
    <row r="12" spans="1:8" ht="12.75" customHeight="1">
      <c r="A12" s="328" t="s">
        <v>111</v>
      </c>
      <c r="B12" s="296"/>
      <c r="C12" s="1605"/>
      <c r="D12" s="1605"/>
      <c r="E12" s="1605"/>
      <c r="F12" s="329" t="s">
        <v>110</v>
      </c>
      <c r="G12" s="330"/>
      <c r="H12" s="321"/>
    </row>
    <row r="13" spans="1:8" ht="28.5" customHeight="1" thickBot="1">
      <c r="A13" s="331" t="s">
        <v>109</v>
      </c>
      <c r="B13" s="332"/>
      <c r="C13" s="332"/>
      <c r="D13" s="332"/>
      <c r="E13" s="333"/>
      <c r="F13" s="333"/>
      <c r="G13" s="334"/>
      <c r="H13" s="321"/>
    </row>
    <row r="14" spans="1:7" ht="17.25" customHeight="1" thickBot="1">
      <c r="A14" s="335" t="s">
        <v>108</v>
      </c>
      <c r="B14" s="336"/>
      <c r="C14" s="337"/>
      <c r="D14" s="338" t="s">
        <v>107</v>
      </c>
      <c r="E14" s="339"/>
      <c r="F14" s="339"/>
      <c r="G14" s="337"/>
    </row>
    <row r="15" spans="1:7" ht="15.9" customHeight="1">
      <c r="A15" s="340"/>
      <c r="B15" s="341" t="s">
        <v>106</v>
      </c>
      <c r="C15" s="342">
        <f>'r11aR'!E25</f>
        <v>0</v>
      </c>
      <c r="D15" s="343" t="str">
        <f>'r11aR'!A30</f>
        <v>Ztížené výrobní podmínky</v>
      </c>
      <c r="E15" s="344"/>
      <c r="F15" s="345"/>
      <c r="G15" s="342">
        <f>'r11aR'!I30</f>
        <v>0</v>
      </c>
    </row>
    <row r="16" spans="1:7" ht="15.9" customHeight="1">
      <c r="A16" s="340" t="s">
        <v>105</v>
      </c>
      <c r="B16" s="341" t="s">
        <v>104</v>
      </c>
      <c r="C16" s="342">
        <f>'r11aR'!F25</f>
        <v>0</v>
      </c>
      <c r="D16" s="295" t="str">
        <f>'r11aR'!A31</f>
        <v>Oborová přirážka</v>
      </c>
      <c r="E16" s="346"/>
      <c r="F16" s="347"/>
      <c r="G16" s="342">
        <f>'r11aR'!I31</f>
        <v>0</v>
      </c>
    </row>
    <row r="17" spans="1:7" ht="15.9" customHeight="1">
      <c r="A17" s="340" t="s">
        <v>103</v>
      </c>
      <c r="B17" s="341" t="s">
        <v>102</v>
      </c>
      <c r="C17" s="342">
        <f>'r11aR'!H25</f>
        <v>0</v>
      </c>
      <c r="D17" s="295" t="str">
        <f>'r11aR'!A32</f>
        <v>Přesun stavebních kapacit</v>
      </c>
      <c r="E17" s="346"/>
      <c r="F17" s="347"/>
      <c r="G17" s="342">
        <f>'r11aR'!I32</f>
        <v>0</v>
      </c>
    </row>
    <row r="18" spans="1:7" ht="15.9" customHeight="1">
      <c r="A18" s="348" t="s">
        <v>101</v>
      </c>
      <c r="B18" s="349" t="s">
        <v>100</v>
      </c>
      <c r="C18" s="342">
        <f>'r11aR'!G25</f>
        <v>0</v>
      </c>
      <c r="D18" s="295" t="str">
        <f>'r11aR'!A33</f>
        <v>Mimostaveništní doprava</v>
      </c>
      <c r="E18" s="346"/>
      <c r="F18" s="347"/>
      <c r="G18" s="342">
        <f>'r11aR'!I33</f>
        <v>0</v>
      </c>
    </row>
    <row r="19" spans="1:7" ht="15.9" customHeight="1">
      <c r="A19" s="350" t="s">
        <v>99</v>
      </c>
      <c r="B19" s="341"/>
      <c r="C19" s="342">
        <f>SUM(C15:C18)</f>
        <v>0</v>
      </c>
      <c r="D19" s="295" t="str">
        <f>'r11aR'!A34</f>
        <v>Zařízení staveniště</v>
      </c>
      <c r="E19" s="346"/>
      <c r="F19" s="347"/>
      <c r="G19" s="342">
        <f>'r11aR'!I34</f>
        <v>0</v>
      </c>
    </row>
    <row r="20" spans="1:7" ht="15.9" customHeight="1">
      <c r="A20" s="350"/>
      <c r="B20" s="341"/>
      <c r="C20" s="342"/>
      <c r="D20" s="295" t="str">
        <f>'r11aR'!A35</f>
        <v>Provoz investora</v>
      </c>
      <c r="E20" s="346"/>
      <c r="F20" s="347"/>
      <c r="G20" s="342">
        <f>'r11aR'!I35</f>
        <v>0</v>
      </c>
    </row>
    <row r="21" spans="1:7" ht="15.9" customHeight="1">
      <c r="A21" s="350" t="s">
        <v>70</v>
      </c>
      <c r="B21" s="341"/>
      <c r="C21" s="342">
        <f>'r11aR'!I25</f>
        <v>0</v>
      </c>
      <c r="D21" s="295" t="str">
        <f>'r11aR'!A36</f>
        <v>Kompletační činnost (IČD)</v>
      </c>
      <c r="E21" s="346"/>
      <c r="F21" s="347"/>
      <c r="G21" s="342">
        <f>'r11aR'!I36</f>
        <v>0</v>
      </c>
    </row>
    <row r="22" spans="1:7" ht="15.9" customHeight="1">
      <c r="A22" s="351" t="s">
        <v>98</v>
      </c>
      <c r="B22" s="321"/>
      <c r="C22" s="342">
        <f>C19+C21</f>
        <v>0</v>
      </c>
      <c r="D22" s="295" t="s">
        <v>97</v>
      </c>
      <c r="E22" s="346"/>
      <c r="F22" s="347"/>
      <c r="G22" s="342">
        <f>G23-SUM(G15:G21)</f>
        <v>0</v>
      </c>
    </row>
    <row r="23" spans="1:7" ht="15.9" customHeight="1" thickBot="1">
      <c r="A23" s="1601" t="s">
        <v>96</v>
      </c>
      <c r="B23" s="1602"/>
      <c r="C23" s="352">
        <f>C22+G23</f>
        <v>0</v>
      </c>
      <c r="D23" s="353" t="s">
        <v>95</v>
      </c>
      <c r="E23" s="354"/>
      <c r="F23" s="355"/>
      <c r="G23" s="342">
        <f>'r11aR'!H38</f>
        <v>0</v>
      </c>
    </row>
    <row r="24" spans="1:7" ht="12.75">
      <c r="A24" s="356" t="s">
        <v>94</v>
      </c>
      <c r="B24" s="357"/>
      <c r="C24" s="358"/>
      <c r="D24" s="357" t="s">
        <v>93</v>
      </c>
      <c r="E24" s="357"/>
      <c r="F24" s="359" t="s">
        <v>92</v>
      </c>
      <c r="G24" s="360"/>
    </row>
    <row r="25" spans="1:7" ht="12.75">
      <c r="A25" s="351" t="s">
        <v>91</v>
      </c>
      <c r="B25" s="321"/>
      <c r="C25" s="361"/>
      <c r="D25" s="321" t="s">
        <v>91</v>
      </c>
      <c r="F25" s="362" t="s">
        <v>91</v>
      </c>
      <c r="G25" s="363"/>
    </row>
    <row r="26" spans="1:7" ht="37.5" customHeight="1">
      <c r="A26" s="351" t="s">
        <v>90</v>
      </c>
      <c r="B26" s="364"/>
      <c r="C26" s="361"/>
      <c r="D26" s="321" t="s">
        <v>90</v>
      </c>
      <c r="F26" s="362" t="s">
        <v>90</v>
      </c>
      <c r="G26" s="363"/>
    </row>
    <row r="27" spans="1:7" ht="12.75">
      <c r="A27" s="351"/>
      <c r="B27" s="365"/>
      <c r="C27" s="361"/>
      <c r="D27" s="321"/>
      <c r="F27" s="362"/>
      <c r="G27" s="363"/>
    </row>
    <row r="28" spans="1:7" ht="12.75">
      <c r="A28" s="351" t="s">
        <v>89</v>
      </c>
      <c r="B28" s="321"/>
      <c r="C28" s="361"/>
      <c r="D28" s="362" t="s">
        <v>88</v>
      </c>
      <c r="E28" s="361"/>
      <c r="F28" s="366" t="s">
        <v>88</v>
      </c>
      <c r="G28" s="363"/>
    </row>
    <row r="29" spans="1:7" ht="69" customHeight="1">
      <c r="A29" s="351"/>
      <c r="B29" s="321"/>
      <c r="C29" s="367"/>
      <c r="D29" s="368"/>
      <c r="E29" s="367"/>
      <c r="F29" s="321"/>
      <c r="G29" s="363"/>
    </row>
    <row r="30" spans="1:7" ht="12.75">
      <c r="A30" s="369" t="s">
        <v>8</v>
      </c>
      <c r="B30" s="370"/>
      <c r="C30" s="371">
        <v>21</v>
      </c>
      <c r="D30" s="370" t="s">
        <v>87</v>
      </c>
      <c r="E30" s="372"/>
      <c r="F30" s="1607">
        <f>C23-F32</f>
        <v>0</v>
      </c>
      <c r="G30" s="1608"/>
    </row>
    <row r="31" spans="1:7" ht="12.75">
      <c r="A31" s="369" t="s">
        <v>86</v>
      </c>
      <c r="B31" s="370"/>
      <c r="C31" s="371">
        <f>C30</f>
        <v>21</v>
      </c>
      <c r="D31" s="370" t="s">
        <v>85</v>
      </c>
      <c r="E31" s="372"/>
      <c r="F31" s="1607">
        <f>ROUND(PRODUCT(F30,C31/100),0)</f>
        <v>0</v>
      </c>
      <c r="G31" s="1608"/>
    </row>
    <row r="32" spans="1:7" ht="12.75">
      <c r="A32" s="369" t="s">
        <v>8</v>
      </c>
      <c r="B32" s="370"/>
      <c r="C32" s="371">
        <v>0</v>
      </c>
      <c r="D32" s="370" t="s">
        <v>85</v>
      </c>
      <c r="E32" s="372"/>
      <c r="F32" s="1607">
        <v>0</v>
      </c>
      <c r="G32" s="1608"/>
    </row>
    <row r="33" spans="1:7" ht="12.75">
      <c r="A33" s="369" t="s">
        <v>86</v>
      </c>
      <c r="B33" s="373"/>
      <c r="C33" s="374">
        <f>C32</f>
        <v>0</v>
      </c>
      <c r="D33" s="370" t="s">
        <v>85</v>
      </c>
      <c r="E33" s="347"/>
      <c r="F33" s="1607">
        <f>ROUND(PRODUCT(F32,C33/100),0)</f>
        <v>0</v>
      </c>
      <c r="G33" s="1608"/>
    </row>
    <row r="34" spans="1:7" s="378" customFormat="1" ht="19.5" customHeight="1" thickBot="1">
      <c r="A34" s="375" t="s">
        <v>84</v>
      </c>
      <c r="B34" s="376"/>
      <c r="C34" s="376"/>
      <c r="D34" s="376"/>
      <c r="E34" s="377"/>
      <c r="F34" s="1609">
        <f>ROUND(SUM(F30:F33),0)</f>
        <v>0</v>
      </c>
      <c r="G34" s="1610"/>
    </row>
    <row r="36" spans="1:8" ht="12.75">
      <c r="A36" s="379" t="s">
        <v>83</v>
      </c>
      <c r="B36" s="379"/>
      <c r="C36" s="379"/>
      <c r="D36" s="379"/>
      <c r="E36" s="379"/>
      <c r="F36" s="379"/>
      <c r="G36" s="379"/>
      <c r="H36" s="288" t="s">
        <v>1</v>
      </c>
    </row>
    <row r="37" spans="1:8" ht="14.25" customHeight="1">
      <c r="A37" s="379"/>
      <c r="B37" s="1611"/>
      <c r="C37" s="1611"/>
      <c r="D37" s="1611"/>
      <c r="E37" s="1611"/>
      <c r="F37" s="1611"/>
      <c r="G37" s="1611"/>
      <c r="H37" s="288" t="s">
        <v>1</v>
      </c>
    </row>
    <row r="38" spans="1:8" ht="12.75" customHeight="1">
      <c r="A38" s="380"/>
      <c r="B38" s="1611"/>
      <c r="C38" s="1611"/>
      <c r="D38" s="1611"/>
      <c r="E38" s="1611"/>
      <c r="F38" s="1611"/>
      <c r="G38" s="1611"/>
      <c r="H38" s="288" t="s">
        <v>1</v>
      </c>
    </row>
    <row r="39" spans="1:8" ht="12.75">
      <c r="A39" s="380"/>
      <c r="B39" s="1611"/>
      <c r="C39" s="1611"/>
      <c r="D39" s="1611"/>
      <c r="E39" s="1611"/>
      <c r="F39" s="1611"/>
      <c r="G39" s="1611"/>
      <c r="H39" s="288" t="s">
        <v>1</v>
      </c>
    </row>
    <row r="40" spans="1:8" ht="12.75">
      <c r="A40" s="380"/>
      <c r="B40" s="1611"/>
      <c r="C40" s="1611"/>
      <c r="D40" s="1611"/>
      <c r="E40" s="1611"/>
      <c r="F40" s="1611"/>
      <c r="G40" s="1611"/>
      <c r="H40" s="288" t="s">
        <v>1</v>
      </c>
    </row>
    <row r="41" spans="1:8" ht="12.75">
      <c r="A41" s="380"/>
      <c r="B41" s="1611"/>
      <c r="C41" s="1611"/>
      <c r="D41" s="1611"/>
      <c r="E41" s="1611"/>
      <c r="F41" s="1611"/>
      <c r="G41" s="1611"/>
      <c r="H41" s="288" t="s">
        <v>1</v>
      </c>
    </row>
    <row r="42" spans="1:8" ht="12.75">
      <c r="A42" s="380"/>
      <c r="B42" s="1611"/>
      <c r="C42" s="1611"/>
      <c r="D42" s="1611"/>
      <c r="E42" s="1611"/>
      <c r="F42" s="1611"/>
      <c r="G42" s="1611"/>
      <c r="H42" s="288" t="s">
        <v>1</v>
      </c>
    </row>
    <row r="43" spans="1:8" ht="12.75">
      <c r="A43" s="380"/>
      <c r="B43" s="1611"/>
      <c r="C43" s="1611"/>
      <c r="D43" s="1611"/>
      <c r="E43" s="1611"/>
      <c r="F43" s="1611"/>
      <c r="G43" s="1611"/>
      <c r="H43" s="288" t="s">
        <v>1</v>
      </c>
    </row>
    <row r="44" spans="1:8" ht="12.75" customHeight="1">
      <c r="A44" s="380"/>
      <c r="B44" s="1611"/>
      <c r="C44" s="1611"/>
      <c r="D44" s="1611"/>
      <c r="E44" s="1611"/>
      <c r="F44" s="1611"/>
      <c r="G44" s="1611"/>
      <c r="H44" s="288" t="s">
        <v>1</v>
      </c>
    </row>
    <row r="45" spans="1:8" ht="12.75" customHeight="1">
      <c r="A45" s="380"/>
      <c r="B45" s="1611"/>
      <c r="C45" s="1611"/>
      <c r="D45" s="1611"/>
      <c r="E45" s="1611"/>
      <c r="F45" s="1611"/>
      <c r="G45" s="1611"/>
      <c r="H45" s="288" t="s">
        <v>1</v>
      </c>
    </row>
    <row r="46" spans="2:7" ht="12.75">
      <c r="B46" s="1606"/>
      <c r="C46" s="1606"/>
      <c r="D46" s="1606"/>
      <c r="E46" s="1606"/>
      <c r="F46" s="1606"/>
      <c r="G46" s="1606"/>
    </row>
    <row r="47" spans="2:7" ht="12.75">
      <c r="B47" s="1606"/>
      <c r="C47" s="1606"/>
      <c r="D47" s="1606"/>
      <c r="E47" s="1606"/>
      <c r="F47" s="1606"/>
      <c r="G47" s="1606"/>
    </row>
    <row r="48" spans="2:7" ht="12.75">
      <c r="B48" s="1606"/>
      <c r="C48" s="1606"/>
      <c r="D48" s="1606"/>
      <c r="E48" s="1606"/>
      <c r="F48" s="1606"/>
      <c r="G48" s="1606"/>
    </row>
    <row r="49" spans="2:7" ht="12.75">
      <c r="B49" s="1606"/>
      <c r="C49" s="1606"/>
      <c r="D49" s="1606"/>
      <c r="E49" s="1606"/>
      <c r="F49" s="1606"/>
      <c r="G49" s="1606"/>
    </row>
    <row r="50" spans="2:7" ht="12.75">
      <c r="B50" s="1606"/>
      <c r="C50" s="1606"/>
      <c r="D50" s="1606"/>
      <c r="E50" s="1606"/>
      <c r="F50" s="1606"/>
      <c r="G50" s="1606"/>
    </row>
    <row r="51" spans="2:7" ht="12.75">
      <c r="B51" s="1606"/>
      <c r="C51" s="1606"/>
      <c r="D51" s="1606"/>
      <c r="E51" s="1606"/>
      <c r="F51" s="1606"/>
      <c r="G51" s="16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6"/>
  </sheetPr>
  <dimension ref="A1:BE89"/>
  <sheetViews>
    <sheetView workbookViewId="0" topLeftCell="A1">
      <selection activeCell="I32" sqref="I32"/>
    </sheetView>
  </sheetViews>
  <sheetFormatPr defaultColWidth="9.125" defaultRowHeight="12.75"/>
  <cols>
    <col min="1" max="1" width="5.875" style="288" customWidth="1"/>
    <col min="2" max="2" width="6.125" style="288" customWidth="1"/>
    <col min="3" max="3" width="11.50390625" style="288" customWidth="1"/>
    <col min="4" max="4" width="15.875" style="288" customWidth="1"/>
    <col min="5" max="5" width="11.375" style="288" customWidth="1"/>
    <col min="6" max="6" width="10.875" style="288" customWidth="1"/>
    <col min="7" max="7" width="11.00390625" style="288" customWidth="1"/>
    <col min="8" max="8" width="11.125" style="288" customWidth="1"/>
    <col min="9" max="9" width="10.625" style="288" customWidth="1"/>
    <col min="10" max="256" width="9.125" style="288" customWidth="1"/>
    <col min="257" max="257" width="5.875" style="288" customWidth="1"/>
    <col min="258" max="258" width="6.125" style="288" customWidth="1"/>
    <col min="259" max="259" width="11.50390625" style="288" customWidth="1"/>
    <col min="260" max="260" width="15.875" style="288" customWidth="1"/>
    <col min="261" max="261" width="11.375" style="288" customWidth="1"/>
    <col min="262" max="262" width="10.875" style="288" customWidth="1"/>
    <col min="263" max="263" width="11.00390625" style="288" customWidth="1"/>
    <col min="264" max="264" width="11.125" style="288" customWidth="1"/>
    <col min="265" max="265" width="10.625" style="288" customWidth="1"/>
    <col min="266" max="512" width="9.125" style="288" customWidth="1"/>
    <col min="513" max="513" width="5.875" style="288" customWidth="1"/>
    <col min="514" max="514" width="6.125" style="288" customWidth="1"/>
    <col min="515" max="515" width="11.50390625" style="288" customWidth="1"/>
    <col min="516" max="516" width="15.875" style="288" customWidth="1"/>
    <col min="517" max="517" width="11.375" style="288" customWidth="1"/>
    <col min="518" max="518" width="10.875" style="288" customWidth="1"/>
    <col min="519" max="519" width="11.00390625" style="288" customWidth="1"/>
    <col min="520" max="520" width="11.125" style="288" customWidth="1"/>
    <col min="521" max="521" width="10.625" style="288" customWidth="1"/>
    <col min="522" max="768" width="9.125" style="288" customWidth="1"/>
    <col min="769" max="769" width="5.875" style="288" customWidth="1"/>
    <col min="770" max="770" width="6.125" style="288" customWidth="1"/>
    <col min="771" max="771" width="11.50390625" style="288" customWidth="1"/>
    <col min="772" max="772" width="15.875" style="288" customWidth="1"/>
    <col min="773" max="773" width="11.375" style="288" customWidth="1"/>
    <col min="774" max="774" width="10.875" style="288" customWidth="1"/>
    <col min="775" max="775" width="11.00390625" style="288" customWidth="1"/>
    <col min="776" max="776" width="11.125" style="288" customWidth="1"/>
    <col min="777" max="777" width="10.625" style="288" customWidth="1"/>
    <col min="778" max="1024" width="9.125" style="288" customWidth="1"/>
    <col min="1025" max="1025" width="5.875" style="288" customWidth="1"/>
    <col min="1026" max="1026" width="6.125" style="288" customWidth="1"/>
    <col min="1027" max="1027" width="11.50390625" style="288" customWidth="1"/>
    <col min="1028" max="1028" width="15.875" style="288" customWidth="1"/>
    <col min="1029" max="1029" width="11.375" style="288" customWidth="1"/>
    <col min="1030" max="1030" width="10.875" style="288" customWidth="1"/>
    <col min="1031" max="1031" width="11.00390625" style="288" customWidth="1"/>
    <col min="1032" max="1032" width="11.125" style="288" customWidth="1"/>
    <col min="1033" max="1033" width="10.625" style="288" customWidth="1"/>
    <col min="1034" max="1280" width="9.125" style="288" customWidth="1"/>
    <col min="1281" max="1281" width="5.875" style="288" customWidth="1"/>
    <col min="1282" max="1282" width="6.125" style="288" customWidth="1"/>
    <col min="1283" max="1283" width="11.50390625" style="288" customWidth="1"/>
    <col min="1284" max="1284" width="15.875" style="288" customWidth="1"/>
    <col min="1285" max="1285" width="11.375" style="288" customWidth="1"/>
    <col min="1286" max="1286" width="10.875" style="288" customWidth="1"/>
    <col min="1287" max="1287" width="11.00390625" style="288" customWidth="1"/>
    <col min="1288" max="1288" width="11.125" style="288" customWidth="1"/>
    <col min="1289" max="1289" width="10.625" style="288" customWidth="1"/>
    <col min="1290" max="1536" width="9.125" style="288" customWidth="1"/>
    <col min="1537" max="1537" width="5.875" style="288" customWidth="1"/>
    <col min="1538" max="1538" width="6.125" style="288" customWidth="1"/>
    <col min="1539" max="1539" width="11.50390625" style="288" customWidth="1"/>
    <col min="1540" max="1540" width="15.875" style="288" customWidth="1"/>
    <col min="1541" max="1541" width="11.375" style="288" customWidth="1"/>
    <col min="1542" max="1542" width="10.875" style="288" customWidth="1"/>
    <col min="1543" max="1543" width="11.00390625" style="288" customWidth="1"/>
    <col min="1544" max="1544" width="11.125" style="288" customWidth="1"/>
    <col min="1545" max="1545" width="10.625" style="288" customWidth="1"/>
    <col min="1546" max="1792" width="9.125" style="288" customWidth="1"/>
    <col min="1793" max="1793" width="5.875" style="288" customWidth="1"/>
    <col min="1794" max="1794" width="6.125" style="288" customWidth="1"/>
    <col min="1795" max="1795" width="11.50390625" style="288" customWidth="1"/>
    <col min="1796" max="1796" width="15.875" style="288" customWidth="1"/>
    <col min="1797" max="1797" width="11.375" style="288" customWidth="1"/>
    <col min="1798" max="1798" width="10.875" style="288" customWidth="1"/>
    <col min="1799" max="1799" width="11.00390625" style="288" customWidth="1"/>
    <col min="1800" max="1800" width="11.125" style="288" customWidth="1"/>
    <col min="1801" max="1801" width="10.625" style="288" customWidth="1"/>
    <col min="1802" max="2048" width="9.125" style="288" customWidth="1"/>
    <col min="2049" max="2049" width="5.875" style="288" customWidth="1"/>
    <col min="2050" max="2050" width="6.125" style="288" customWidth="1"/>
    <col min="2051" max="2051" width="11.50390625" style="288" customWidth="1"/>
    <col min="2052" max="2052" width="15.875" style="288" customWidth="1"/>
    <col min="2053" max="2053" width="11.375" style="288" customWidth="1"/>
    <col min="2054" max="2054" width="10.875" style="288" customWidth="1"/>
    <col min="2055" max="2055" width="11.00390625" style="288" customWidth="1"/>
    <col min="2056" max="2056" width="11.125" style="288" customWidth="1"/>
    <col min="2057" max="2057" width="10.625" style="288" customWidth="1"/>
    <col min="2058" max="2304" width="9.125" style="288" customWidth="1"/>
    <col min="2305" max="2305" width="5.875" style="288" customWidth="1"/>
    <col min="2306" max="2306" width="6.125" style="288" customWidth="1"/>
    <col min="2307" max="2307" width="11.50390625" style="288" customWidth="1"/>
    <col min="2308" max="2308" width="15.875" style="288" customWidth="1"/>
    <col min="2309" max="2309" width="11.375" style="288" customWidth="1"/>
    <col min="2310" max="2310" width="10.875" style="288" customWidth="1"/>
    <col min="2311" max="2311" width="11.00390625" style="288" customWidth="1"/>
    <col min="2312" max="2312" width="11.125" style="288" customWidth="1"/>
    <col min="2313" max="2313" width="10.625" style="288" customWidth="1"/>
    <col min="2314" max="2560" width="9.125" style="288" customWidth="1"/>
    <col min="2561" max="2561" width="5.875" style="288" customWidth="1"/>
    <col min="2562" max="2562" width="6.125" style="288" customWidth="1"/>
    <col min="2563" max="2563" width="11.50390625" style="288" customWidth="1"/>
    <col min="2564" max="2564" width="15.875" style="288" customWidth="1"/>
    <col min="2565" max="2565" width="11.375" style="288" customWidth="1"/>
    <col min="2566" max="2566" width="10.875" style="288" customWidth="1"/>
    <col min="2567" max="2567" width="11.00390625" style="288" customWidth="1"/>
    <col min="2568" max="2568" width="11.125" style="288" customWidth="1"/>
    <col min="2569" max="2569" width="10.625" style="288" customWidth="1"/>
    <col min="2570" max="2816" width="9.125" style="288" customWidth="1"/>
    <col min="2817" max="2817" width="5.875" style="288" customWidth="1"/>
    <col min="2818" max="2818" width="6.125" style="288" customWidth="1"/>
    <col min="2819" max="2819" width="11.50390625" style="288" customWidth="1"/>
    <col min="2820" max="2820" width="15.875" style="288" customWidth="1"/>
    <col min="2821" max="2821" width="11.375" style="288" customWidth="1"/>
    <col min="2822" max="2822" width="10.875" style="288" customWidth="1"/>
    <col min="2823" max="2823" width="11.00390625" style="288" customWidth="1"/>
    <col min="2824" max="2824" width="11.125" style="288" customWidth="1"/>
    <col min="2825" max="2825" width="10.625" style="288" customWidth="1"/>
    <col min="2826" max="3072" width="9.125" style="288" customWidth="1"/>
    <col min="3073" max="3073" width="5.875" style="288" customWidth="1"/>
    <col min="3074" max="3074" width="6.125" style="288" customWidth="1"/>
    <col min="3075" max="3075" width="11.50390625" style="288" customWidth="1"/>
    <col min="3076" max="3076" width="15.875" style="288" customWidth="1"/>
    <col min="3077" max="3077" width="11.375" style="288" customWidth="1"/>
    <col min="3078" max="3078" width="10.875" style="288" customWidth="1"/>
    <col min="3079" max="3079" width="11.00390625" style="288" customWidth="1"/>
    <col min="3080" max="3080" width="11.125" style="288" customWidth="1"/>
    <col min="3081" max="3081" width="10.625" style="288" customWidth="1"/>
    <col min="3082" max="3328" width="9.125" style="288" customWidth="1"/>
    <col min="3329" max="3329" width="5.875" style="288" customWidth="1"/>
    <col min="3330" max="3330" width="6.125" style="288" customWidth="1"/>
    <col min="3331" max="3331" width="11.50390625" style="288" customWidth="1"/>
    <col min="3332" max="3332" width="15.875" style="288" customWidth="1"/>
    <col min="3333" max="3333" width="11.375" style="288" customWidth="1"/>
    <col min="3334" max="3334" width="10.875" style="288" customWidth="1"/>
    <col min="3335" max="3335" width="11.00390625" style="288" customWidth="1"/>
    <col min="3336" max="3336" width="11.125" style="288" customWidth="1"/>
    <col min="3337" max="3337" width="10.625" style="288" customWidth="1"/>
    <col min="3338" max="3584" width="9.125" style="288" customWidth="1"/>
    <col min="3585" max="3585" width="5.875" style="288" customWidth="1"/>
    <col min="3586" max="3586" width="6.125" style="288" customWidth="1"/>
    <col min="3587" max="3587" width="11.50390625" style="288" customWidth="1"/>
    <col min="3588" max="3588" width="15.875" style="288" customWidth="1"/>
    <col min="3589" max="3589" width="11.375" style="288" customWidth="1"/>
    <col min="3590" max="3590" width="10.875" style="288" customWidth="1"/>
    <col min="3591" max="3591" width="11.00390625" style="288" customWidth="1"/>
    <col min="3592" max="3592" width="11.125" style="288" customWidth="1"/>
    <col min="3593" max="3593" width="10.625" style="288" customWidth="1"/>
    <col min="3594" max="3840" width="9.125" style="288" customWidth="1"/>
    <col min="3841" max="3841" width="5.875" style="288" customWidth="1"/>
    <col min="3842" max="3842" width="6.125" style="288" customWidth="1"/>
    <col min="3843" max="3843" width="11.50390625" style="288" customWidth="1"/>
    <col min="3844" max="3844" width="15.875" style="288" customWidth="1"/>
    <col min="3845" max="3845" width="11.375" style="288" customWidth="1"/>
    <col min="3846" max="3846" width="10.875" style="288" customWidth="1"/>
    <col min="3847" max="3847" width="11.00390625" style="288" customWidth="1"/>
    <col min="3848" max="3848" width="11.125" style="288" customWidth="1"/>
    <col min="3849" max="3849" width="10.625" style="288" customWidth="1"/>
    <col min="3850" max="4096" width="9.125" style="288" customWidth="1"/>
    <col min="4097" max="4097" width="5.875" style="288" customWidth="1"/>
    <col min="4098" max="4098" width="6.125" style="288" customWidth="1"/>
    <col min="4099" max="4099" width="11.50390625" style="288" customWidth="1"/>
    <col min="4100" max="4100" width="15.875" style="288" customWidth="1"/>
    <col min="4101" max="4101" width="11.375" style="288" customWidth="1"/>
    <col min="4102" max="4102" width="10.875" style="288" customWidth="1"/>
    <col min="4103" max="4103" width="11.00390625" style="288" customWidth="1"/>
    <col min="4104" max="4104" width="11.125" style="288" customWidth="1"/>
    <col min="4105" max="4105" width="10.625" style="288" customWidth="1"/>
    <col min="4106" max="4352" width="9.125" style="288" customWidth="1"/>
    <col min="4353" max="4353" width="5.875" style="288" customWidth="1"/>
    <col min="4354" max="4354" width="6.125" style="288" customWidth="1"/>
    <col min="4355" max="4355" width="11.50390625" style="288" customWidth="1"/>
    <col min="4356" max="4356" width="15.875" style="288" customWidth="1"/>
    <col min="4357" max="4357" width="11.375" style="288" customWidth="1"/>
    <col min="4358" max="4358" width="10.875" style="288" customWidth="1"/>
    <col min="4359" max="4359" width="11.00390625" style="288" customWidth="1"/>
    <col min="4360" max="4360" width="11.125" style="288" customWidth="1"/>
    <col min="4361" max="4361" width="10.625" style="288" customWidth="1"/>
    <col min="4362" max="4608" width="9.125" style="288" customWidth="1"/>
    <col min="4609" max="4609" width="5.875" style="288" customWidth="1"/>
    <col min="4610" max="4610" width="6.125" style="288" customWidth="1"/>
    <col min="4611" max="4611" width="11.50390625" style="288" customWidth="1"/>
    <col min="4612" max="4612" width="15.875" style="288" customWidth="1"/>
    <col min="4613" max="4613" width="11.375" style="288" customWidth="1"/>
    <col min="4614" max="4614" width="10.875" style="288" customWidth="1"/>
    <col min="4615" max="4615" width="11.00390625" style="288" customWidth="1"/>
    <col min="4616" max="4616" width="11.125" style="288" customWidth="1"/>
    <col min="4617" max="4617" width="10.625" style="288" customWidth="1"/>
    <col min="4618" max="4864" width="9.125" style="288" customWidth="1"/>
    <col min="4865" max="4865" width="5.875" style="288" customWidth="1"/>
    <col min="4866" max="4866" width="6.125" style="288" customWidth="1"/>
    <col min="4867" max="4867" width="11.50390625" style="288" customWidth="1"/>
    <col min="4868" max="4868" width="15.875" style="288" customWidth="1"/>
    <col min="4869" max="4869" width="11.375" style="288" customWidth="1"/>
    <col min="4870" max="4870" width="10.875" style="288" customWidth="1"/>
    <col min="4871" max="4871" width="11.00390625" style="288" customWidth="1"/>
    <col min="4872" max="4872" width="11.125" style="288" customWidth="1"/>
    <col min="4873" max="4873" width="10.625" style="288" customWidth="1"/>
    <col min="4874" max="5120" width="9.125" style="288" customWidth="1"/>
    <col min="5121" max="5121" width="5.875" style="288" customWidth="1"/>
    <col min="5122" max="5122" width="6.125" style="288" customWidth="1"/>
    <col min="5123" max="5123" width="11.50390625" style="288" customWidth="1"/>
    <col min="5124" max="5124" width="15.875" style="288" customWidth="1"/>
    <col min="5125" max="5125" width="11.375" style="288" customWidth="1"/>
    <col min="5126" max="5126" width="10.875" style="288" customWidth="1"/>
    <col min="5127" max="5127" width="11.00390625" style="288" customWidth="1"/>
    <col min="5128" max="5128" width="11.125" style="288" customWidth="1"/>
    <col min="5129" max="5129" width="10.625" style="288" customWidth="1"/>
    <col min="5130" max="5376" width="9.125" style="288" customWidth="1"/>
    <col min="5377" max="5377" width="5.875" style="288" customWidth="1"/>
    <col min="5378" max="5378" width="6.125" style="288" customWidth="1"/>
    <col min="5379" max="5379" width="11.50390625" style="288" customWidth="1"/>
    <col min="5380" max="5380" width="15.875" style="288" customWidth="1"/>
    <col min="5381" max="5381" width="11.375" style="288" customWidth="1"/>
    <col min="5382" max="5382" width="10.875" style="288" customWidth="1"/>
    <col min="5383" max="5383" width="11.00390625" style="288" customWidth="1"/>
    <col min="5384" max="5384" width="11.125" style="288" customWidth="1"/>
    <col min="5385" max="5385" width="10.625" style="288" customWidth="1"/>
    <col min="5386" max="5632" width="9.125" style="288" customWidth="1"/>
    <col min="5633" max="5633" width="5.875" style="288" customWidth="1"/>
    <col min="5634" max="5634" width="6.125" style="288" customWidth="1"/>
    <col min="5635" max="5635" width="11.50390625" style="288" customWidth="1"/>
    <col min="5636" max="5636" width="15.875" style="288" customWidth="1"/>
    <col min="5637" max="5637" width="11.375" style="288" customWidth="1"/>
    <col min="5638" max="5638" width="10.875" style="288" customWidth="1"/>
    <col min="5639" max="5639" width="11.00390625" style="288" customWidth="1"/>
    <col min="5640" max="5640" width="11.125" style="288" customWidth="1"/>
    <col min="5641" max="5641" width="10.625" style="288" customWidth="1"/>
    <col min="5642" max="5888" width="9.125" style="288" customWidth="1"/>
    <col min="5889" max="5889" width="5.875" style="288" customWidth="1"/>
    <col min="5890" max="5890" width="6.125" style="288" customWidth="1"/>
    <col min="5891" max="5891" width="11.50390625" style="288" customWidth="1"/>
    <col min="5892" max="5892" width="15.875" style="288" customWidth="1"/>
    <col min="5893" max="5893" width="11.375" style="288" customWidth="1"/>
    <col min="5894" max="5894" width="10.875" style="288" customWidth="1"/>
    <col min="5895" max="5895" width="11.00390625" style="288" customWidth="1"/>
    <col min="5896" max="5896" width="11.125" style="288" customWidth="1"/>
    <col min="5897" max="5897" width="10.625" style="288" customWidth="1"/>
    <col min="5898" max="6144" width="9.125" style="288" customWidth="1"/>
    <col min="6145" max="6145" width="5.875" style="288" customWidth="1"/>
    <col min="6146" max="6146" width="6.125" style="288" customWidth="1"/>
    <col min="6147" max="6147" width="11.50390625" style="288" customWidth="1"/>
    <col min="6148" max="6148" width="15.875" style="288" customWidth="1"/>
    <col min="6149" max="6149" width="11.375" style="288" customWidth="1"/>
    <col min="6150" max="6150" width="10.875" style="288" customWidth="1"/>
    <col min="6151" max="6151" width="11.00390625" style="288" customWidth="1"/>
    <col min="6152" max="6152" width="11.125" style="288" customWidth="1"/>
    <col min="6153" max="6153" width="10.625" style="288" customWidth="1"/>
    <col min="6154" max="6400" width="9.125" style="288" customWidth="1"/>
    <col min="6401" max="6401" width="5.875" style="288" customWidth="1"/>
    <col min="6402" max="6402" width="6.125" style="288" customWidth="1"/>
    <col min="6403" max="6403" width="11.50390625" style="288" customWidth="1"/>
    <col min="6404" max="6404" width="15.875" style="288" customWidth="1"/>
    <col min="6405" max="6405" width="11.375" style="288" customWidth="1"/>
    <col min="6406" max="6406" width="10.875" style="288" customWidth="1"/>
    <col min="6407" max="6407" width="11.00390625" style="288" customWidth="1"/>
    <col min="6408" max="6408" width="11.125" style="288" customWidth="1"/>
    <col min="6409" max="6409" width="10.625" style="288" customWidth="1"/>
    <col min="6410" max="6656" width="9.125" style="288" customWidth="1"/>
    <col min="6657" max="6657" width="5.875" style="288" customWidth="1"/>
    <col min="6658" max="6658" width="6.125" style="288" customWidth="1"/>
    <col min="6659" max="6659" width="11.50390625" style="288" customWidth="1"/>
    <col min="6660" max="6660" width="15.875" style="288" customWidth="1"/>
    <col min="6661" max="6661" width="11.375" style="288" customWidth="1"/>
    <col min="6662" max="6662" width="10.875" style="288" customWidth="1"/>
    <col min="6663" max="6663" width="11.00390625" style="288" customWidth="1"/>
    <col min="6664" max="6664" width="11.125" style="288" customWidth="1"/>
    <col min="6665" max="6665" width="10.625" style="288" customWidth="1"/>
    <col min="6666" max="6912" width="9.125" style="288" customWidth="1"/>
    <col min="6913" max="6913" width="5.875" style="288" customWidth="1"/>
    <col min="6914" max="6914" width="6.125" style="288" customWidth="1"/>
    <col min="6915" max="6915" width="11.50390625" style="288" customWidth="1"/>
    <col min="6916" max="6916" width="15.875" style="288" customWidth="1"/>
    <col min="6917" max="6917" width="11.375" style="288" customWidth="1"/>
    <col min="6918" max="6918" width="10.875" style="288" customWidth="1"/>
    <col min="6919" max="6919" width="11.00390625" style="288" customWidth="1"/>
    <col min="6920" max="6920" width="11.125" style="288" customWidth="1"/>
    <col min="6921" max="6921" width="10.625" style="288" customWidth="1"/>
    <col min="6922" max="7168" width="9.125" style="288" customWidth="1"/>
    <col min="7169" max="7169" width="5.875" style="288" customWidth="1"/>
    <col min="7170" max="7170" width="6.125" style="288" customWidth="1"/>
    <col min="7171" max="7171" width="11.50390625" style="288" customWidth="1"/>
    <col min="7172" max="7172" width="15.875" style="288" customWidth="1"/>
    <col min="7173" max="7173" width="11.375" style="288" customWidth="1"/>
    <col min="7174" max="7174" width="10.875" style="288" customWidth="1"/>
    <col min="7175" max="7175" width="11.00390625" style="288" customWidth="1"/>
    <col min="7176" max="7176" width="11.125" style="288" customWidth="1"/>
    <col min="7177" max="7177" width="10.625" style="288" customWidth="1"/>
    <col min="7178" max="7424" width="9.125" style="288" customWidth="1"/>
    <col min="7425" max="7425" width="5.875" style="288" customWidth="1"/>
    <col min="7426" max="7426" width="6.125" style="288" customWidth="1"/>
    <col min="7427" max="7427" width="11.50390625" style="288" customWidth="1"/>
    <col min="7428" max="7428" width="15.875" style="288" customWidth="1"/>
    <col min="7429" max="7429" width="11.375" style="288" customWidth="1"/>
    <col min="7430" max="7430" width="10.875" style="288" customWidth="1"/>
    <col min="7431" max="7431" width="11.00390625" style="288" customWidth="1"/>
    <col min="7432" max="7432" width="11.125" style="288" customWidth="1"/>
    <col min="7433" max="7433" width="10.625" style="288" customWidth="1"/>
    <col min="7434" max="7680" width="9.125" style="288" customWidth="1"/>
    <col min="7681" max="7681" width="5.875" style="288" customWidth="1"/>
    <col min="7682" max="7682" width="6.125" style="288" customWidth="1"/>
    <col min="7683" max="7683" width="11.50390625" style="288" customWidth="1"/>
    <col min="7684" max="7684" width="15.875" style="288" customWidth="1"/>
    <col min="7685" max="7685" width="11.375" style="288" customWidth="1"/>
    <col min="7686" max="7686" width="10.875" style="288" customWidth="1"/>
    <col min="7687" max="7687" width="11.00390625" style="288" customWidth="1"/>
    <col min="7688" max="7688" width="11.125" style="288" customWidth="1"/>
    <col min="7689" max="7689" width="10.625" style="288" customWidth="1"/>
    <col min="7690" max="7936" width="9.125" style="288" customWidth="1"/>
    <col min="7937" max="7937" width="5.875" style="288" customWidth="1"/>
    <col min="7938" max="7938" width="6.125" style="288" customWidth="1"/>
    <col min="7939" max="7939" width="11.50390625" style="288" customWidth="1"/>
    <col min="7940" max="7940" width="15.875" style="288" customWidth="1"/>
    <col min="7941" max="7941" width="11.375" style="288" customWidth="1"/>
    <col min="7942" max="7942" width="10.875" style="288" customWidth="1"/>
    <col min="7943" max="7943" width="11.00390625" style="288" customWidth="1"/>
    <col min="7944" max="7944" width="11.125" style="288" customWidth="1"/>
    <col min="7945" max="7945" width="10.625" style="288" customWidth="1"/>
    <col min="7946" max="8192" width="9.125" style="288" customWidth="1"/>
    <col min="8193" max="8193" width="5.875" style="288" customWidth="1"/>
    <col min="8194" max="8194" width="6.125" style="288" customWidth="1"/>
    <col min="8195" max="8195" width="11.50390625" style="288" customWidth="1"/>
    <col min="8196" max="8196" width="15.875" style="288" customWidth="1"/>
    <col min="8197" max="8197" width="11.375" style="288" customWidth="1"/>
    <col min="8198" max="8198" width="10.875" style="288" customWidth="1"/>
    <col min="8199" max="8199" width="11.00390625" style="288" customWidth="1"/>
    <col min="8200" max="8200" width="11.125" style="288" customWidth="1"/>
    <col min="8201" max="8201" width="10.625" style="288" customWidth="1"/>
    <col min="8202" max="8448" width="9.125" style="288" customWidth="1"/>
    <col min="8449" max="8449" width="5.875" style="288" customWidth="1"/>
    <col min="8450" max="8450" width="6.125" style="288" customWidth="1"/>
    <col min="8451" max="8451" width="11.50390625" style="288" customWidth="1"/>
    <col min="8452" max="8452" width="15.875" style="288" customWidth="1"/>
    <col min="8453" max="8453" width="11.375" style="288" customWidth="1"/>
    <col min="8454" max="8454" width="10.875" style="288" customWidth="1"/>
    <col min="8455" max="8455" width="11.00390625" style="288" customWidth="1"/>
    <col min="8456" max="8456" width="11.125" style="288" customWidth="1"/>
    <col min="8457" max="8457" width="10.625" style="288" customWidth="1"/>
    <col min="8458" max="8704" width="9.125" style="288" customWidth="1"/>
    <col min="8705" max="8705" width="5.875" style="288" customWidth="1"/>
    <col min="8706" max="8706" width="6.125" style="288" customWidth="1"/>
    <col min="8707" max="8707" width="11.50390625" style="288" customWidth="1"/>
    <col min="8708" max="8708" width="15.875" style="288" customWidth="1"/>
    <col min="8709" max="8709" width="11.375" style="288" customWidth="1"/>
    <col min="8710" max="8710" width="10.875" style="288" customWidth="1"/>
    <col min="8711" max="8711" width="11.00390625" style="288" customWidth="1"/>
    <col min="8712" max="8712" width="11.125" style="288" customWidth="1"/>
    <col min="8713" max="8713" width="10.625" style="288" customWidth="1"/>
    <col min="8714" max="8960" width="9.125" style="288" customWidth="1"/>
    <col min="8961" max="8961" width="5.875" style="288" customWidth="1"/>
    <col min="8962" max="8962" width="6.125" style="288" customWidth="1"/>
    <col min="8963" max="8963" width="11.50390625" style="288" customWidth="1"/>
    <col min="8964" max="8964" width="15.875" style="288" customWidth="1"/>
    <col min="8965" max="8965" width="11.375" style="288" customWidth="1"/>
    <col min="8966" max="8966" width="10.875" style="288" customWidth="1"/>
    <col min="8967" max="8967" width="11.00390625" style="288" customWidth="1"/>
    <col min="8968" max="8968" width="11.125" style="288" customWidth="1"/>
    <col min="8969" max="8969" width="10.625" style="288" customWidth="1"/>
    <col min="8970" max="9216" width="9.125" style="288" customWidth="1"/>
    <col min="9217" max="9217" width="5.875" style="288" customWidth="1"/>
    <col min="9218" max="9218" width="6.125" style="288" customWidth="1"/>
    <col min="9219" max="9219" width="11.50390625" style="288" customWidth="1"/>
    <col min="9220" max="9220" width="15.875" style="288" customWidth="1"/>
    <col min="9221" max="9221" width="11.375" style="288" customWidth="1"/>
    <col min="9222" max="9222" width="10.875" style="288" customWidth="1"/>
    <col min="9223" max="9223" width="11.00390625" style="288" customWidth="1"/>
    <col min="9224" max="9224" width="11.125" style="288" customWidth="1"/>
    <col min="9225" max="9225" width="10.625" style="288" customWidth="1"/>
    <col min="9226" max="9472" width="9.125" style="288" customWidth="1"/>
    <col min="9473" max="9473" width="5.875" style="288" customWidth="1"/>
    <col min="9474" max="9474" width="6.125" style="288" customWidth="1"/>
    <col min="9475" max="9475" width="11.50390625" style="288" customWidth="1"/>
    <col min="9476" max="9476" width="15.875" style="288" customWidth="1"/>
    <col min="9477" max="9477" width="11.375" style="288" customWidth="1"/>
    <col min="9478" max="9478" width="10.875" style="288" customWidth="1"/>
    <col min="9479" max="9479" width="11.00390625" style="288" customWidth="1"/>
    <col min="9480" max="9480" width="11.125" style="288" customWidth="1"/>
    <col min="9481" max="9481" width="10.625" style="288" customWidth="1"/>
    <col min="9482" max="9728" width="9.125" style="288" customWidth="1"/>
    <col min="9729" max="9729" width="5.875" style="288" customWidth="1"/>
    <col min="9730" max="9730" width="6.125" style="288" customWidth="1"/>
    <col min="9731" max="9731" width="11.50390625" style="288" customWidth="1"/>
    <col min="9732" max="9732" width="15.875" style="288" customWidth="1"/>
    <col min="9733" max="9733" width="11.375" style="288" customWidth="1"/>
    <col min="9734" max="9734" width="10.875" style="288" customWidth="1"/>
    <col min="9735" max="9735" width="11.00390625" style="288" customWidth="1"/>
    <col min="9736" max="9736" width="11.125" style="288" customWidth="1"/>
    <col min="9737" max="9737" width="10.625" style="288" customWidth="1"/>
    <col min="9738" max="9984" width="9.125" style="288" customWidth="1"/>
    <col min="9985" max="9985" width="5.875" style="288" customWidth="1"/>
    <col min="9986" max="9986" width="6.125" style="288" customWidth="1"/>
    <col min="9987" max="9987" width="11.50390625" style="288" customWidth="1"/>
    <col min="9988" max="9988" width="15.875" style="288" customWidth="1"/>
    <col min="9989" max="9989" width="11.375" style="288" customWidth="1"/>
    <col min="9990" max="9990" width="10.875" style="288" customWidth="1"/>
    <col min="9991" max="9991" width="11.00390625" style="288" customWidth="1"/>
    <col min="9992" max="9992" width="11.125" style="288" customWidth="1"/>
    <col min="9993" max="9993" width="10.625" style="288" customWidth="1"/>
    <col min="9994" max="10240" width="9.125" style="288" customWidth="1"/>
    <col min="10241" max="10241" width="5.875" style="288" customWidth="1"/>
    <col min="10242" max="10242" width="6.125" style="288" customWidth="1"/>
    <col min="10243" max="10243" width="11.50390625" style="288" customWidth="1"/>
    <col min="10244" max="10244" width="15.875" style="288" customWidth="1"/>
    <col min="10245" max="10245" width="11.375" style="288" customWidth="1"/>
    <col min="10246" max="10246" width="10.875" style="288" customWidth="1"/>
    <col min="10247" max="10247" width="11.00390625" style="288" customWidth="1"/>
    <col min="10248" max="10248" width="11.125" style="288" customWidth="1"/>
    <col min="10249" max="10249" width="10.625" style="288" customWidth="1"/>
    <col min="10250" max="10496" width="9.125" style="288" customWidth="1"/>
    <col min="10497" max="10497" width="5.875" style="288" customWidth="1"/>
    <col min="10498" max="10498" width="6.125" style="288" customWidth="1"/>
    <col min="10499" max="10499" width="11.50390625" style="288" customWidth="1"/>
    <col min="10500" max="10500" width="15.875" style="288" customWidth="1"/>
    <col min="10501" max="10501" width="11.375" style="288" customWidth="1"/>
    <col min="10502" max="10502" width="10.875" style="288" customWidth="1"/>
    <col min="10503" max="10503" width="11.00390625" style="288" customWidth="1"/>
    <col min="10504" max="10504" width="11.125" style="288" customWidth="1"/>
    <col min="10505" max="10505" width="10.625" style="288" customWidth="1"/>
    <col min="10506" max="10752" width="9.125" style="288" customWidth="1"/>
    <col min="10753" max="10753" width="5.875" style="288" customWidth="1"/>
    <col min="10754" max="10754" width="6.125" style="288" customWidth="1"/>
    <col min="10755" max="10755" width="11.50390625" style="288" customWidth="1"/>
    <col min="10756" max="10756" width="15.875" style="288" customWidth="1"/>
    <col min="10757" max="10757" width="11.375" style="288" customWidth="1"/>
    <col min="10758" max="10758" width="10.875" style="288" customWidth="1"/>
    <col min="10759" max="10759" width="11.00390625" style="288" customWidth="1"/>
    <col min="10760" max="10760" width="11.125" style="288" customWidth="1"/>
    <col min="10761" max="10761" width="10.625" style="288" customWidth="1"/>
    <col min="10762" max="11008" width="9.125" style="288" customWidth="1"/>
    <col min="11009" max="11009" width="5.875" style="288" customWidth="1"/>
    <col min="11010" max="11010" width="6.125" style="288" customWidth="1"/>
    <col min="11011" max="11011" width="11.50390625" style="288" customWidth="1"/>
    <col min="11012" max="11012" width="15.875" style="288" customWidth="1"/>
    <col min="11013" max="11013" width="11.375" style="288" customWidth="1"/>
    <col min="11014" max="11014" width="10.875" style="288" customWidth="1"/>
    <col min="11015" max="11015" width="11.00390625" style="288" customWidth="1"/>
    <col min="11016" max="11016" width="11.125" style="288" customWidth="1"/>
    <col min="11017" max="11017" width="10.625" style="288" customWidth="1"/>
    <col min="11018" max="11264" width="9.125" style="288" customWidth="1"/>
    <col min="11265" max="11265" width="5.875" style="288" customWidth="1"/>
    <col min="11266" max="11266" width="6.125" style="288" customWidth="1"/>
    <col min="11267" max="11267" width="11.50390625" style="288" customWidth="1"/>
    <col min="11268" max="11268" width="15.875" style="288" customWidth="1"/>
    <col min="11269" max="11269" width="11.375" style="288" customWidth="1"/>
    <col min="11270" max="11270" width="10.875" style="288" customWidth="1"/>
    <col min="11271" max="11271" width="11.00390625" style="288" customWidth="1"/>
    <col min="11272" max="11272" width="11.125" style="288" customWidth="1"/>
    <col min="11273" max="11273" width="10.625" style="288" customWidth="1"/>
    <col min="11274" max="11520" width="9.125" style="288" customWidth="1"/>
    <col min="11521" max="11521" width="5.875" style="288" customWidth="1"/>
    <col min="11522" max="11522" width="6.125" style="288" customWidth="1"/>
    <col min="11523" max="11523" width="11.50390625" style="288" customWidth="1"/>
    <col min="11524" max="11524" width="15.875" style="288" customWidth="1"/>
    <col min="11525" max="11525" width="11.375" style="288" customWidth="1"/>
    <col min="11526" max="11526" width="10.875" style="288" customWidth="1"/>
    <col min="11527" max="11527" width="11.00390625" style="288" customWidth="1"/>
    <col min="11528" max="11528" width="11.125" style="288" customWidth="1"/>
    <col min="11529" max="11529" width="10.625" style="288" customWidth="1"/>
    <col min="11530" max="11776" width="9.125" style="288" customWidth="1"/>
    <col min="11777" max="11777" width="5.875" style="288" customWidth="1"/>
    <col min="11778" max="11778" width="6.125" style="288" customWidth="1"/>
    <col min="11779" max="11779" width="11.50390625" style="288" customWidth="1"/>
    <col min="11780" max="11780" width="15.875" style="288" customWidth="1"/>
    <col min="11781" max="11781" width="11.375" style="288" customWidth="1"/>
    <col min="11782" max="11782" width="10.875" style="288" customWidth="1"/>
    <col min="11783" max="11783" width="11.00390625" style="288" customWidth="1"/>
    <col min="11784" max="11784" width="11.125" style="288" customWidth="1"/>
    <col min="11785" max="11785" width="10.625" style="288" customWidth="1"/>
    <col min="11786" max="12032" width="9.125" style="288" customWidth="1"/>
    <col min="12033" max="12033" width="5.875" style="288" customWidth="1"/>
    <col min="12034" max="12034" width="6.125" style="288" customWidth="1"/>
    <col min="12035" max="12035" width="11.50390625" style="288" customWidth="1"/>
    <col min="12036" max="12036" width="15.875" style="288" customWidth="1"/>
    <col min="12037" max="12037" width="11.375" style="288" customWidth="1"/>
    <col min="12038" max="12038" width="10.875" style="288" customWidth="1"/>
    <col min="12039" max="12039" width="11.00390625" style="288" customWidth="1"/>
    <col min="12040" max="12040" width="11.125" style="288" customWidth="1"/>
    <col min="12041" max="12041" width="10.625" style="288" customWidth="1"/>
    <col min="12042" max="12288" width="9.125" style="288" customWidth="1"/>
    <col min="12289" max="12289" width="5.875" style="288" customWidth="1"/>
    <col min="12290" max="12290" width="6.125" style="288" customWidth="1"/>
    <col min="12291" max="12291" width="11.50390625" style="288" customWidth="1"/>
    <col min="12292" max="12292" width="15.875" style="288" customWidth="1"/>
    <col min="12293" max="12293" width="11.375" style="288" customWidth="1"/>
    <col min="12294" max="12294" width="10.875" style="288" customWidth="1"/>
    <col min="12295" max="12295" width="11.00390625" style="288" customWidth="1"/>
    <col min="12296" max="12296" width="11.125" style="288" customWidth="1"/>
    <col min="12297" max="12297" width="10.625" style="288" customWidth="1"/>
    <col min="12298" max="12544" width="9.125" style="288" customWidth="1"/>
    <col min="12545" max="12545" width="5.875" style="288" customWidth="1"/>
    <col min="12546" max="12546" width="6.125" style="288" customWidth="1"/>
    <col min="12547" max="12547" width="11.50390625" style="288" customWidth="1"/>
    <col min="12548" max="12548" width="15.875" style="288" customWidth="1"/>
    <col min="12549" max="12549" width="11.375" style="288" customWidth="1"/>
    <col min="12550" max="12550" width="10.875" style="288" customWidth="1"/>
    <col min="12551" max="12551" width="11.00390625" style="288" customWidth="1"/>
    <col min="12552" max="12552" width="11.125" style="288" customWidth="1"/>
    <col min="12553" max="12553" width="10.625" style="288" customWidth="1"/>
    <col min="12554" max="12800" width="9.125" style="288" customWidth="1"/>
    <col min="12801" max="12801" width="5.875" style="288" customWidth="1"/>
    <col min="12802" max="12802" width="6.125" style="288" customWidth="1"/>
    <col min="12803" max="12803" width="11.50390625" style="288" customWidth="1"/>
    <col min="12804" max="12804" width="15.875" style="288" customWidth="1"/>
    <col min="12805" max="12805" width="11.375" style="288" customWidth="1"/>
    <col min="12806" max="12806" width="10.875" style="288" customWidth="1"/>
    <col min="12807" max="12807" width="11.00390625" style="288" customWidth="1"/>
    <col min="12808" max="12808" width="11.125" style="288" customWidth="1"/>
    <col min="12809" max="12809" width="10.625" style="288" customWidth="1"/>
    <col min="12810" max="13056" width="9.125" style="288" customWidth="1"/>
    <col min="13057" max="13057" width="5.875" style="288" customWidth="1"/>
    <col min="13058" max="13058" width="6.125" style="288" customWidth="1"/>
    <col min="13059" max="13059" width="11.50390625" style="288" customWidth="1"/>
    <col min="13060" max="13060" width="15.875" style="288" customWidth="1"/>
    <col min="13061" max="13061" width="11.375" style="288" customWidth="1"/>
    <col min="13062" max="13062" width="10.875" style="288" customWidth="1"/>
    <col min="13063" max="13063" width="11.00390625" style="288" customWidth="1"/>
    <col min="13064" max="13064" width="11.125" style="288" customWidth="1"/>
    <col min="13065" max="13065" width="10.625" style="288" customWidth="1"/>
    <col min="13066" max="13312" width="9.125" style="288" customWidth="1"/>
    <col min="13313" max="13313" width="5.875" style="288" customWidth="1"/>
    <col min="13314" max="13314" width="6.125" style="288" customWidth="1"/>
    <col min="13315" max="13315" width="11.50390625" style="288" customWidth="1"/>
    <col min="13316" max="13316" width="15.875" style="288" customWidth="1"/>
    <col min="13317" max="13317" width="11.375" style="288" customWidth="1"/>
    <col min="13318" max="13318" width="10.875" style="288" customWidth="1"/>
    <col min="13319" max="13319" width="11.00390625" style="288" customWidth="1"/>
    <col min="13320" max="13320" width="11.125" style="288" customWidth="1"/>
    <col min="13321" max="13321" width="10.625" style="288" customWidth="1"/>
    <col min="13322" max="13568" width="9.125" style="288" customWidth="1"/>
    <col min="13569" max="13569" width="5.875" style="288" customWidth="1"/>
    <col min="13570" max="13570" width="6.125" style="288" customWidth="1"/>
    <col min="13571" max="13571" width="11.50390625" style="288" customWidth="1"/>
    <col min="13572" max="13572" width="15.875" style="288" customWidth="1"/>
    <col min="13573" max="13573" width="11.375" style="288" customWidth="1"/>
    <col min="13574" max="13574" width="10.875" style="288" customWidth="1"/>
    <col min="13575" max="13575" width="11.00390625" style="288" customWidth="1"/>
    <col min="13576" max="13576" width="11.125" style="288" customWidth="1"/>
    <col min="13577" max="13577" width="10.625" style="288" customWidth="1"/>
    <col min="13578" max="13824" width="9.125" style="288" customWidth="1"/>
    <col min="13825" max="13825" width="5.875" style="288" customWidth="1"/>
    <col min="13826" max="13826" width="6.125" style="288" customWidth="1"/>
    <col min="13827" max="13827" width="11.50390625" style="288" customWidth="1"/>
    <col min="13828" max="13828" width="15.875" style="288" customWidth="1"/>
    <col min="13829" max="13829" width="11.375" style="288" customWidth="1"/>
    <col min="13830" max="13830" width="10.875" style="288" customWidth="1"/>
    <col min="13831" max="13831" width="11.00390625" style="288" customWidth="1"/>
    <col min="13832" max="13832" width="11.125" style="288" customWidth="1"/>
    <col min="13833" max="13833" width="10.625" style="288" customWidth="1"/>
    <col min="13834" max="14080" width="9.125" style="288" customWidth="1"/>
    <col min="14081" max="14081" width="5.875" style="288" customWidth="1"/>
    <col min="14082" max="14082" width="6.125" style="288" customWidth="1"/>
    <col min="14083" max="14083" width="11.50390625" style="288" customWidth="1"/>
    <col min="14084" max="14084" width="15.875" style="288" customWidth="1"/>
    <col min="14085" max="14085" width="11.375" style="288" customWidth="1"/>
    <col min="14086" max="14086" width="10.875" style="288" customWidth="1"/>
    <col min="14087" max="14087" width="11.00390625" style="288" customWidth="1"/>
    <col min="14088" max="14088" width="11.125" style="288" customWidth="1"/>
    <col min="14089" max="14089" width="10.625" style="288" customWidth="1"/>
    <col min="14090" max="14336" width="9.125" style="288" customWidth="1"/>
    <col min="14337" max="14337" width="5.875" style="288" customWidth="1"/>
    <col min="14338" max="14338" width="6.125" style="288" customWidth="1"/>
    <col min="14339" max="14339" width="11.50390625" style="288" customWidth="1"/>
    <col min="14340" max="14340" width="15.875" style="288" customWidth="1"/>
    <col min="14341" max="14341" width="11.375" style="288" customWidth="1"/>
    <col min="14342" max="14342" width="10.875" style="288" customWidth="1"/>
    <col min="14343" max="14343" width="11.00390625" style="288" customWidth="1"/>
    <col min="14344" max="14344" width="11.125" style="288" customWidth="1"/>
    <col min="14345" max="14345" width="10.625" style="288" customWidth="1"/>
    <col min="14346" max="14592" width="9.125" style="288" customWidth="1"/>
    <col min="14593" max="14593" width="5.875" style="288" customWidth="1"/>
    <col min="14594" max="14594" width="6.125" style="288" customWidth="1"/>
    <col min="14595" max="14595" width="11.50390625" style="288" customWidth="1"/>
    <col min="14596" max="14596" width="15.875" style="288" customWidth="1"/>
    <col min="14597" max="14597" width="11.375" style="288" customWidth="1"/>
    <col min="14598" max="14598" width="10.875" style="288" customWidth="1"/>
    <col min="14599" max="14599" width="11.00390625" style="288" customWidth="1"/>
    <col min="14600" max="14600" width="11.125" style="288" customWidth="1"/>
    <col min="14601" max="14601" width="10.625" style="288" customWidth="1"/>
    <col min="14602" max="14848" width="9.125" style="288" customWidth="1"/>
    <col min="14849" max="14849" width="5.875" style="288" customWidth="1"/>
    <col min="14850" max="14850" width="6.125" style="288" customWidth="1"/>
    <col min="14851" max="14851" width="11.50390625" style="288" customWidth="1"/>
    <col min="14852" max="14852" width="15.875" style="288" customWidth="1"/>
    <col min="14853" max="14853" width="11.375" style="288" customWidth="1"/>
    <col min="14854" max="14854" width="10.875" style="288" customWidth="1"/>
    <col min="14855" max="14855" width="11.00390625" style="288" customWidth="1"/>
    <col min="14856" max="14856" width="11.125" style="288" customWidth="1"/>
    <col min="14857" max="14857" width="10.625" style="288" customWidth="1"/>
    <col min="14858" max="15104" width="9.125" style="288" customWidth="1"/>
    <col min="15105" max="15105" width="5.875" style="288" customWidth="1"/>
    <col min="15106" max="15106" width="6.125" style="288" customWidth="1"/>
    <col min="15107" max="15107" width="11.50390625" style="288" customWidth="1"/>
    <col min="15108" max="15108" width="15.875" style="288" customWidth="1"/>
    <col min="15109" max="15109" width="11.375" style="288" customWidth="1"/>
    <col min="15110" max="15110" width="10.875" style="288" customWidth="1"/>
    <col min="15111" max="15111" width="11.00390625" style="288" customWidth="1"/>
    <col min="15112" max="15112" width="11.125" style="288" customWidth="1"/>
    <col min="15113" max="15113" width="10.625" style="288" customWidth="1"/>
    <col min="15114" max="15360" width="9.125" style="288" customWidth="1"/>
    <col min="15361" max="15361" width="5.875" style="288" customWidth="1"/>
    <col min="15362" max="15362" width="6.125" style="288" customWidth="1"/>
    <col min="15363" max="15363" width="11.50390625" style="288" customWidth="1"/>
    <col min="15364" max="15364" width="15.875" style="288" customWidth="1"/>
    <col min="15365" max="15365" width="11.375" style="288" customWidth="1"/>
    <col min="15366" max="15366" width="10.875" style="288" customWidth="1"/>
    <col min="15367" max="15367" width="11.00390625" style="288" customWidth="1"/>
    <col min="15368" max="15368" width="11.125" style="288" customWidth="1"/>
    <col min="15369" max="15369" width="10.625" style="288" customWidth="1"/>
    <col min="15370" max="15616" width="9.125" style="288" customWidth="1"/>
    <col min="15617" max="15617" width="5.875" style="288" customWidth="1"/>
    <col min="15618" max="15618" width="6.125" style="288" customWidth="1"/>
    <col min="15619" max="15619" width="11.50390625" style="288" customWidth="1"/>
    <col min="15620" max="15620" width="15.875" style="288" customWidth="1"/>
    <col min="15621" max="15621" width="11.375" style="288" customWidth="1"/>
    <col min="15622" max="15622" width="10.875" style="288" customWidth="1"/>
    <col min="15623" max="15623" width="11.00390625" style="288" customWidth="1"/>
    <col min="15624" max="15624" width="11.125" style="288" customWidth="1"/>
    <col min="15625" max="15625" width="10.625" style="288" customWidth="1"/>
    <col min="15626" max="15872" width="9.125" style="288" customWidth="1"/>
    <col min="15873" max="15873" width="5.875" style="288" customWidth="1"/>
    <col min="15874" max="15874" width="6.125" style="288" customWidth="1"/>
    <col min="15875" max="15875" width="11.50390625" style="288" customWidth="1"/>
    <col min="15876" max="15876" width="15.875" style="288" customWidth="1"/>
    <col min="15877" max="15877" width="11.375" style="288" customWidth="1"/>
    <col min="15878" max="15878" width="10.875" style="288" customWidth="1"/>
    <col min="15879" max="15879" width="11.00390625" style="288" customWidth="1"/>
    <col min="15880" max="15880" width="11.125" style="288" customWidth="1"/>
    <col min="15881" max="15881" width="10.625" style="288" customWidth="1"/>
    <col min="15882" max="16128" width="9.125" style="288" customWidth="1"/>
    <col min="16129" max="16129" width="5.875" style="288" customWidth="1"/>
    <col min="16130" max="16130" width="6.125" style="288" customWidth="1"/>
    <col min="16131" max="16131" width="11.50390625" style="288" customWidth="1"/>
    <col min="16132" max="16132" width="15.875" style="288" customWidth="1"/>
    <col min="16133" max="16133" width="11.375" style="288" customWidth="1"/>
    <col min="16134" max="16134" width="10.875" style="288" customWidth="1"/>
    <col min="16135" max="16135" width="11.00390625" style="288" customWidth="1"/>
    <col min="16136" max="16136" width="11.125" style="288" customWidth="1"/>
    <col min="16137" max="16137" width="10.625" style="288" customWidth="1"/>
    <col min="16138" max="16384" width="9.125" style="288" customWidth="1"/>
  </cols>
  <sheetData>
    <row r="1" spans="1:9" ht="13.8" thickTop="1">
      <c r="A1" s="1612" t="s">
        <v>2</v>
      </c>
      <c r="B1" s="1613"/>
      <c r="C1" s="433" t="s">
        <v>82</v>
      </c>
      <c r="D1" s="431"/>
      <c r="E1" s="432"/>
      <c r="F1" s="431"/>
      <c r="G1" s="430" t="s">
        <v>81</v>
      </c>
      <c r="H1" s="429" t="s">
        <v>80</v>
      </c>
      <c r="I1" s="428"/>
    </row>
    <row r="2" spans="1:9" ht="13.8" thickBot="1">
      <c r="A2" s="1614" t="s">
        <v>79</v>
      </c>
      <c r="B2" s="1615"/>
      <c r="C2" s="427" t="s">
        <v>2036</v>
      </c>
      <c r="D2" s="425"/>
      <c r="E2" s="426"/>
      <c r="F2" s="425"/>
      <c r="G2" s="1616" t="s">
        <v>77</v>
      </c>
      <c r="H2" s="1617"/>
      <c r="I2" s="1618"/>
    </row>
    <row r="3" ht="13.8" thickTop="1">
      <c r="F3" s="321"/>
    </row>
    <row r="4" spans="1:9" ht="19.5" customHeight="1">
      <c r="A4" s="424" t="s">
        <v>76</v>
      </c>
      <c r="B4" s="403"/>
      <c r="C4" s="403"/>
      <c r="D4" s="403"/>
      <c r="E4" s="423"/>
      <c r="F4" s="403"/>
      <c r="G4" s="403"/>
      <c r="H4" s="403"/>
      <c r="I4" s="403"/>
    </row>
    <row r="5" ht="13.8" thickBot="1"/>
    <row r="6" spans="1:9" s="321" customFormat="1" ht="13.8" thickBot="1">
      <c r="A6" s="422"/>
      <c r="B6" s="421" t="s">
        <v>75</v>
      </c>
      <c r="C6" s="421"/>
      <c r="D6" s="420"/>
      <c r="E6" s="419" t="s">
        <v>74</v>
      </c>
      <c r="F6" s="418" t="s">
        <v>73</v>
      </c>
      <c r="G6" s="418" t="s">
        <v>72</v>
      </c>
      <c r="H6" s="418" t="s">
        <v>71</v>
      </c>
      <c r="I6" s="417" t="s">
        <v>70</v>
      </c>
    </row>
    <row r="7" spans="1:9" s="321" customFormat="1" ht="12.75">
      <c r="A7" s="416" t="str">
        <f>'[3]11a  Pol'!B7</f>
        <v>1</v>
      </c>
      <c r="B7" s="415" t="str">
        <f>'[3]11a  Pol'!C7</f>
        <v>Zemní práce</v>
      </c>
      <c r="D7" s="414"/>
      <c r="E7" s="413">
        <v>0</v>
      </c>
      <c r="F7" s="412">
        <v>0</v>
      </c>
      <c r="G7" s="412">
        <v>0</v>
      </c>
      <c r="H7" s="412">
        <v>0</v>
      </c>
      <c r="I7" s="411">
        <v>0</v>
      </c>
    </row>
    <row r="8" spans="1:9" s="74" customFormat="1" ht="12.75">
      <c r="A8" s="85" t="str">
        <f>'[3]11a  Pol'!B46</f>
        <v>11</v>
      </c>
      <c r="B8" s="35" t="str">
        <f>'[3]11a  Pol'!C46</f>
        <v>Přípravné a přidružené práce</v>
      </c>
      <c r="D8" s="84"/>
      <c r="E8" s="83">
        <v>0</v>
      </c>
      <c r="F8" s="82">
        <v>0</v>
      </c>
      <c r="G8" s="82">
        <v>0</v>
      </c>
      <c r="H8" s="82">
        <v>0</v>
      </c>
      <c r="I8" s="81">
        <v>0</v>
      </c>
    </row>
    <row r="9" spans="1:9" s="74" customFormat="1" ht="12.75">
      <c r="A9" s="85" t="str">
        <f>'[3]11a  Pol'!B49</f>
        <v>2</v>
      </c>
      <c r="B9" s="35" t="str">
        <f>'[3]11a  Pol'!C49</f>
        <v>Základy a zvláštní zakládání</v>
      </c>
      <c r="D9" s="84"/>
      <c r="E9" s="83">
        <v>0</v>
      </c>
      <c r="F9" s="82">
        <v>0</v>
      </c>
      <c r="G9" s="82">
        <v>0</v>
      </c>
      <c r="H9" s="82">
        <v>0</v>
      </c>
      <c r="I9" s="81">
        <v>0</v>
      </c>
    </row>
    <row r="10" spans="1:9" s="74" customFormat="1" ht="12.75">
      <c r="A10" s="85" t="str">
        <f>'[3]11a  Pol'!B53</f>
        <v>3</v>
      </c>
      <c r="B10" s="35" t="str">
        <f>'[3]11a  Pol'!C53</f>
        <v>Svislé a kompletní konstrukce</v>
      </c>
      <c r="D10" s="84"/>
      <c r="E10" s="83">
        <v>0</v>
      </c>
      <c r="F10" s="82">
        <v>0</v>
      </c>
      <c r="G10" s="82">
        <v>0</v>
      </c>
      <c r="H10" s="82">
        <v>0</v>
      </c>
      <c r="I10" s="81">
        <v>0</v>
      </c>
    </row>
    <row r="11" spans="1:9" s="74" customFormat="1" ht="12.75">
      <c r="A11" s="85" t="str">
        <f>'[3]11a  Pol'!B71</f>
        <v>61</v>
      </c>
      <c r="B11" s="35" t="str">
        <f>'[3]11a  Pol'!C71</f>
        <v>Upravy povrchů vnitřní</v>
      </c>
      <c r="D11" s="84"/>
      <c r="E11" s="83">
        <v>0</v>
      </c>
      <c r="F11" s="82">
        <v>0</v>
      </c>
      <c r="G11" s="82">
        <v>0</v>
      </c>
      <c r="H11" s="82">
        <v>0</v>
      </c>
      <c r="I11" s="81">
        <v>0</v>
      </c>
    </row>
    <row r="12" spans="1:9" s="74" customFormat="1" ht="12.75">
      <c r="A12" s="85" t="str">
        <f>'[3]11a  Pol'!B101</f>
        <v>62</v>
      </c>
      <c r="B12" s="35" t="str">
        <f>'[3]11a  Pol'!C101</f>
        <v>Úpravy povrchů vnější</v>
      </c>
      <c r="D12" s="84"/>
      <c r="E12" s="83">
        <v>0</v>
      </c>
      <c r="F12" s="82">
        <v>0</v>
      </c>
      <c r="G12" s="82">
        <v>0</v>
      </c>
      <c r="H12" s="82">
        <v>0</v>
      </c>
      <c r="I12" s="81">
        <v>0</v>
      </c>
    </row>
    <row r="13" spans="1:9" s="74" customFormat="1" ht="12.75">
      <c r="A13" s="85" t="str">
        <f>'[3]11a  Pol'!B104</f>
        <v>63</v>
      </c>
      <c r="B13" s="35" t="str">
        <f>'[3]11a  Pol'!C104</f>
        <v>Podlahy a podlahové konstrukce</v>
      </c>
      <c r="D13" s="84"/>
      <c r="E13" s="83">
        <v>0</v>
      </c>
      <c r="F13" s="82">
        <v>0</v>
      </c>
      <c r="G13" s="82">
        <v>0</v>
      </c>
      <c r="H13" s="82">
        <v>0</v>
      </c>
      <c r="I13" s="81">
        <v>0</v>
      </c>
    </row>
    <row r="14" spans="1:9" s="74" customFormat="1" ht="12.75">
      <c r="A14" s="85" t="str">
        <f>'[3]11a  Pol'!B108</f>
        <v>64</v>
      </c>
      <c r="B14" s="35" t="str">
        <f>'[3]11a  Pol'!C108</f>
        <v>Výplně otvorů</v>
      </c>
      <c r="D14" s="84"/>
      <c r="E14" s="83">
        <v>0</v>
      </c>
      <c r="F14" s="82">
        <v>0</v>
      </c>
      <c r="G14" s="82">
        <v>0</v>
      </c>
      <c r="H14" s="82">
        <v>0</v>
      </c>
      <c r="I14" s="81">
        <v>0</v>
      </c>
    </row>
    <row r="15" spans="1:9" s="74" customFormat="1" ht="12.75">
      <c r="A15" s="85" t="str">
        <f>'[3]11a  Pol'!B111</f>
        <v>96</v>
      </c>
      <c r="B15" s="35" t="str">
        <f>'[3]11a  Pol'!C111</f>
        <v>Bourání konstrukcí</v>
      </c>
      <c r="D15" s="84"/>
      <c r="E15" s="83">
        <v>0</v>
      </c>
      <c r="F15" s="82">
        <v>0</v>
      </c>
      <c r="G15" s="82">
        <v>0</v>
      </c>
      <c r="H15" s="82">
        <v>0</v>
      </c>
      <c r="I15" s="81">
        <v>0</v>
      </c>
    </row>
    <row r="16" spans="1:9" s="74" customFormat="1" ht="12.75">
      <c r="A16" s="85" t="str">
        <f>'[3]11a  Pol'!B118</f>
        <v>97</v>
      </c>
      <c r="B16" s="35" t="str">
        <f>'[3]11a  Pol'!C118</f>
        <v>Prorážení otvorů</v>
      </c>
      <c r="D16" s="84"/>
      <c r="E16" s="83">
        <v>0</v>
      </c>
      <c r="F16" s="82">
        <v>0</v>
      </c>
      <c r="G16" s="82">
        <v>0</v>
      </c>
      <c r="H16" s="82">
        <v>0</v>
      </c>
      <c r="I16" s="81">
        <v>0</v>
      </c>
    </row>
    <row r="17" spans="1:9" s="74" customFormat="1" ht="12.75">
      <c r="A17" s="85" t="str">
        <f>'[3]11a  Pol'!B122</f>
        <v>99</v>
      </c>
      <c r="B17" s="35" t="str">
        <f>'[3]11a  Pol'!C122</f>
        <v>Staveništní přesun hmot</v>
      </c>
      <c r="D17" s="84"/>
      <c r="E17" s="83">
        <v>0</v>
      </c>
      <c r="F17" s="82">
        <v>0</v>
      </c>
      <c r="G17" s="82">
        <v>0</v>
      </c>
      <c r="H17" s="82">
        <v>0</v>
      </c>
      <c r="I17" s="81">
        <v>0</v>
      </c>
    </row>
    <row r="18" spans="1:9" s="74" customFormat="1" ht="12.75">
      <c r="A18" s="85" t="str">
        <f>'[3]11a  Pol'!B125</f>
        <v>711</v>
      </c>
      <c r="B18" s="35" t="str">
        <f>'[3]11a  Pol'!C125</f>
        <v>Izolace proti vodě</v>
      </c>
      <c r="D18" s="84"/>
      <c r="E18" s="83">
        <v>0</v>
      </c>
      <c r="F18" s="82">
        <v>0</v>
      </c>
      <c r="G18" s="82">
        <v>0</v>
      </c>
      <c r="H18" s="82">
        <v>0</v>
      </c>
      <c r="I18" s="81">
        <v>0</v>
      </c>
    </row>
    <row r="19" spans="1:9" s="74" customFormat="1" ht="12.75">
      <c r="A19" s="85" t="str">
        <f>'[3]11a  Pol'!B145</f>
        <v>722</v>
      </c>
      <c r="B19" s="35" t="str">
        <f>'[3]11a  Pol'!C145</f>
        <v>Vnitřní vodovod</v>
      </c>
      <c r="D19" s="84"/>
      <c r="E19" s="83">
        <v>0</v>
      </c>
      <c r="F19" s="82">
        <v>0</v>
      </c>
      <c r="G19" s="82">
        <v>0</v>
      </c>
      <c r="H19" s="82">
        <v>0</v>
      </c>
      <c r="I19" s="81">
        <v>0</v>
      </c>
    </row>
    <row r="20" spans="1:9" s="74" customFormat="1" ht="12.75">
      <c r="A20" s="85" t="str">
        <f>'[3]11a  Pol'!B149</f>
        <v>767</v>
      </c>
      <c r="B20" s="35" t="str">
        <f>'[3]11a  Pol'!C149</f>
        <v>Konstrukce zámečnické</v>
      </c>
      <c r="D20" s="84"/>
      <c r="E20" s="83">
        <v>0</v>
      </c>
      <c r="F20" s="82">
        <v>0</v>
      </c>
      <c r="G20" s="82">
        <v>0</v>
      </c>
      <c r="H20" s="82">
        <v>0</v>
      </c>
      <c r="I20" s="81">
        <v>0</v>
      </c>
    </row>
    <row r="21" spans="1:9" s="74" customFormat="1" ht="12.75">
      <c r="A21" s="85" t="str">
        <f>'[3]11a  Pol'!B167</f>
        <v>771</v>
      </c>
      <c r="B21" s="35" t="str">
        <f>'[3]11a  Pol'!C167</f>
        <v>Podlahy z dlaždic a obklady</v>
      </c>
      <c r="D21" s="84"/>
      <c r="E21" s="83">
        <v>0</v>
      </c>
      <c r="F21" s="82">
        <v>0</v>
      </c>
      <c r="G21" s="82">
        <v>0</v>
      </c>
      <c r="H21" s="82">
        <v>0</v>
      </c>
      <c r="I21" s="81">
        <v>0</v>
      </c>
    </row>
    <row r="22" spans="1:9" s="74" customFormat="1" ht="12.75">
      <c r="A22" s="85" t="str">
        <f>'[3]11a  Pol'!B179</f>
        <v>783</v>
      </c>
      <c r="B22" s="35" t="str">
        <f>'[3]11a  Pol'!C179</f>
        <v>Nátěry</v>
      </c>
      <c r="D22" s="84"/>
      <c r="E22" s="83">
        <v>0</v>
      </c>
      <c r="F22" s="82">
        <v>0</v>
      </c>
      <c r="G22" s="82">
        <v>0</v>
      </c>
      <c r="H22" s="82">
        <v>0</v>
      </c>
      <c r="I22" s="81">
        <v>0</v>
      </c>
    </row>
    <row r="23" spans="1:9" s="74" customFormat="1" ht="12.75">
      <c r="A23" s="85" t="str">
        <f>'[3]11a  Pol'!B183</f>
        <v>M21</v>
      </c>
      <c r="B23" s="35" t="str">
        <f>'[3]11a  Pol'!C183</f>
        <v>Elektromontáže</v>
      </c>
      <c r="D23" s="84"/>
      <c r="E23" s="83">
        <v>0</v>
      </c>
      <c r="F23" s="82">
        <v>0</v>
      </c>
      <c r="G23" s="82">
        <v>0</v>
      </c>
      <c r="H23" s="82">
        <v>0</v>
      </c>
      <c r="I23" s="81">
        <v>0</v>
      </c>
    </row>
    <row r="24" spans="1:9" s="74" customFormat="1" ht="13.8" thickBot="1">
      <c r="A24" s="85" t="str">
        <f>'[3]11a  Pol'!B188</f>
        <v>D96</v>
      </c>
      <c r="B24" s="35" t="str">
        <f>'[3]11a  Pol'!C188</f>
        <v>Přesuny suti a vybouraných hmot</v>
      </c>
      <c r="D24" s="84"/>
      <c r="E24" s="83">
        <v>0</v>
      </c>
      <c r="F24" s="82">
        <v>0</v>
      </c>
      <c r="G24" s="82">
        <v>0</v>
      </c>
      <c r="H24" s="82">
        <v>0</v>
      </c>
      <c r="I24" s="81">
        <v>0</v>
      </c>
    </row>
    <row r="25" spans="1:9" s="384" customFormat="1" ht="13.8" thickBot="1">
      <c r="A25" s="410"/>
      <c r="B25" s="409" t="s">
        <v>69</v>
      </c>
      <c r="C25" s="409"/>
      <c r="D25" s="408"/>
      <c r="E25" s="407">
        <f>SUM(E7:E24)</f>
        <v>0</v>
      </c>
      <c r="F25" s="406">
        <f>SUM(F7:F24)</f>
        <v>0</v>
      </c>
      <c r="G25" s="406">
        <f>SUM(G7:G24)</f>
        <v>0</v>
      </c>
      <c r="H25" s="406">
        <f>SUM(H7:H24)</f>
        <v>0</v>
      </c>
      <c r="I25" s="405">
        <f>SUM(I7:I24)</f>
        <v>0</v>
      </c>
    </row>
    <row r="26" spans="1:9" ht="12.75">
      <c r="A26" s="321"/>
      <c r="B26" s="321"/>
      <c r="C26" s="321"/>
      <c r="D26" s="321"/>
      <c r="E26" s="321"/>
      <c r="F26" s="321"/>
      <c r="G26" s="321"/>
      <c r="H26" s="321"/>
      <c r="I26" s="321"/>
    </row>
    <row r="27" spans="1:57" ht="19.5" customHeight="1">
      <c r="A27" s="403" t="s">
        <v>68</v>
      </c>
      <c r="B27" s="403"/>
      <c r="C27" s="403"/>
      <c r="D27" s="403"/>
      <c r="E27" s="403"/>
      <c r="F27" s="403"/>
      <c r="G27" s="404"/>
      <c r="H27" s="403"/>
      <c r="I27" s="403"/>
      <c r="BA27" s="327"/>
      <c r="BB27" s="327"/>
      <c r="BC27" s="327"/>
      <c r="BD27" s="327"/>
      <c r="BE27" s="327"/>
    </row>
    <row r="28" ht="13.8" thickBot="1"/>
    <row r="29" spans="1:9" ht="12.75">
      <c r="A29" s="356" t="s">
        <v>67</v>
      </c>
      <c r="B29" s="357"/>
      <c r="C29" s="357"/>
      <c r="D29" s="402"/>
      <c r="E29" s="401" t="s">
        <v>65</v>
      </c>
      <c r="F29" s="400" t="s">
        <v>9</v>
      </c>
      <c r="G29" s="399" t="s">
        <v>66</v>
      </c>
      <c r="H29" s="398"/>
      <c r="I29" s="397" t="s">
        <v>65</v>
      </c>
    </row>
    <row r="30" spans="1:53" ht="12.75">
      <c r="A30" s="350" t="s">
        <v>64</v>
      </c>
      <c r="B30" s="341"/>
      <c r="C30" s="341"/>
      <c r="D30" s="396"/>
      <c r="E30" s="395">
        <v>0</v>
      </c>
      <c r="F30" s="394">
        <v>0</v>
      </c>
      <c r="G30" s="393">
        <v>0</v>
      </c>
      <c r="H30" s="392"/>
      <c r="I30" s="391">
        <f aca="true" t="shared" si="0" ref="I30:I37">E30+F30*G30/100</f>
        <v>0</v>
      </c>
      <c r="BA30" s="288">
        <v>0</v>
      </c>
    </row>
    <row r="31" spans="1:53" ht="12.75">
      <c r="A31" s="350" t="s">
        <v>63</v>
      </c>
      <c r="B31" s="341"/>
      <c r="C31" s="341"/>
      <c r="D31" s="396"/>
      <c r="E31" s="395">
        <v>0</v>
      </c>
      <c r="F31" s="394">
        <v>0</v>
      </c>
      <c r="G31" s="393">
        <v>0</v>
      </c>
      <c r="H31" s="392"/>
      <c r="I31" s="391">
        <f t="shared" si="0"/>
        <v>0</v>
      </c>
      <c r="BA31" s="288">
        <v>0</v>
      </c>
    </row>
    <row r="32" spans="1:53" ht="12.75">
      <c r="A32" s="350" t="s">
        <v>62</v>
      </c>
      <c r="B32" s="341"/>
      <c r="C32" s="341"/>
      <c r="D32" s="396"/>
      <c r="E32" s="395">
        <v>0</v>
      </c>
      <c r="F32" s="394">
        <v>0</v>
      </c>
      <c r="G32" s="393">
        <v>0</v>
      </c>
      <c r="H32" s="392"/>
      <c r="I32" s="391">
        <f t="shared" si="0"/>
        <v>0</v>
      </c>
      <c r="BA32" s="288">
        <v>0</v>
      </c>
    </row>
    <row r="33" spans="1:53" ht="12.75">
      <c r="A33" s="350" t="s">
        <v>61</v>
      </c>
      <c r="B33" s="341"/>
      <c r="C33" s="341"/>
      <c r="D33" s="396"/>
      <c r="E33" s="395">
        <v>0</v>
      </c>
      <c r="F33" s="394">
        <v>0</v>
      </c>
      <c r="G33" s="393">
        <v>0</v>
      </c>
      <c r="H33" s="392"/>
      <c r="I33" s="391">
        <f t="shared" si="0"/>
        <v>0</v>
      </c>
      <c r="BA33" s="288">
        <v>0</v>
      </c>
    </row>
    <row r="34" spans="1:53" ht="12.75">
      <c r="A34" s="350" t="s">
        <v>60</v>
      </c>
      <c r="B34" s="341"/>
      <c r="C34" s="341"/>
      <c r="D34" s="396"/>
      <c r="E34" s="395">
        <v>0</v>
      </c>
      <c r="F34" s="394">
        <v>3</v>
      </c>
      <c r="G34" s="393">
        <v>0</v>
      </c>
      <c r="H34" s="392"/>
      <c r="I34" s="391">
        <f t="shared" si="0"/>
        <v>0</v>
      </c>
      <c r="BA34" s="288">
        <v>1</v>
      </c>
    </row>
    <row r="35" spans="1:53" ht="12.75">
      <c r="A35" s="350" t="s">
        <v>59</v>
      </c>
      <c r="B35" s="341"/>
      <c r="C35" s="341"/>
      <c r="D35" s="396"/>
      <c r="E35" s="395">
        <v>0</v>
      </c>
      <c r="F35" s="394">
        <v>0</v>
      </c>
      <c r="G35" s="393">
        <v>0</v>
      </c>
      <c r="H35" s="392"/>
      <c r="I35" s="391">
        <f t="shared" si="0"/>
        <v>0</v>
      </c>
      <c r="BA35" s="288">
        <v>1</v>
      </c>
    </row>
    <row r="36" spans="1:53" ht="12.75">
      <c r="A36" s="350" t="s">
        <v>58</v>
      </c>
      <c r="B36" s="341"/>
      <c r="C36" s="341"/>
      <c r="D36" s="396"/>
      <c r="E36" s="395">
        <v>0</v>
      </c>
      <c r="F36" s="394">
        <v>1.2</v>
      </c>
      <c r="G36" s="393">
        <v>0</v>
      </c>
      <c r="H36" s="392"/>
      <c r="I36" s="391">
        <f t="shared" si="0"/>
        <v>0</v>
      </c>
      <c r="BA36" s="288">
        <v>2</v>
      </c>
    </row>
    <row r="37" spans="1:53" ht="12.75">
      <c r="A37" s="350" t="s">
        <v>41</v>
      </c>
      <c r="B37" s="341"/>
      <c r="C37" s="341"/>
      <c r="D37" s="396"/>
      <c r="E37" s="395">
        <v>0</v>
      </c>
      <c r="F37" s="394">
        <v>0</v>
      </c>
      <c r="G37" s="393">
        <v>0</v>
      </c>
      <c r="H37" s="392"/>
      <c r="I37" s="391">
        <f t="shared" si="0"/>
        <v>0</v>
      </c>
      <c r="BA37" s="288">
        <v>2</v>
      </c>
    </row>
    <row r="38" spans="1:9" ht="13.8" thickBot="1">
      <c r="A38" s="390"/>
      <c r="B38" s="389" t="s">
        <v>57</v>
      </c>
      <c r="C38" s="388"/>
      <c r="D38" s="387"/>
      <c r="E38" s="386"/>
      <c r="F38" s="385"/>
      <c r="G38" s="385"/>
      <c r="H38" s="1619">
        <f>SUM(I30:I37)</f>
        <v>0</v>
      </c>
      <c r="I38" s="1620"/>
    </row>
    <row r="40" spans="2:9" ht="12.75">
      <c r="B40" s="384"/>
      <c r="F40" s="383"/>
      <c r="G40" s="382"/>
      <c r="H40" s="382"/>
      <c r="I40" s="381"/>
    </row>
    <row r="41" spans="6:9" ht="12.75">
      <c r="F41" s="383"/>
      <c r="G41" s="382"/>
      <c r="H41" s="382"/>
      <c r="I41" s="381"/>
    </row>
    <row r="42" spans="6:9" ht="12.75">
      <c r="F42" s="383"/>
      <c r="G42" s="382"/>
      <c r="H42" s="382"/>
      <c r="I42" s="381"/>
    </row>
    <row r="43" spans="6:9" ht="12.75">
      <c r="F43" s="383"/>
      <c r="G43" s="382"/>
      <c r="H43" s="382"/>
      <c r="I43" s="381"/>
    </row>
    <row r="44" spans="6:9" ht="12.75">
      <c r="F44" s="383"/>
      <c r="G44" s="382"/>
      <c r="H44" s="382"/>
      <c r="I44" s="381"/>
    </row>
    <row r="45" spans="6:9" ht="12.75">
      <c r="F45" s="383"/>
      <c r="G45" s="382"/>
      <c r="H45" s="382"/>
      <c r="I45" s="381"/>
    </row>
    <row r="46" spans="6:9" ht="12.75">
      <c r="F46" s="383"/>
      <c r="G46" s="382"/>
      <c r="H46" s="382"/>
      <c r="I46" s="381"/>
    </row>
    <row r="47" spans="6:9" ht="12.75">
      <c r="F47" s="383"/>
      <c r="G47" s="382"/>
      <c r="H47" s="382"/>
      <c r="I47" s="381"/>
    </row>
    <row r="48" spans="6:9" ht="12.75">
      <c r="F48" s="383"/>
      <c r="G48" s="382"/>
      <c r="H48" s="382"/>
      <c r="I48" s="381"/>
    </row>
    <row r="49" spans="6:9" ht="12.75">
      <c r="F49" s="383"/>
      <c r="G49" s="382"/>
      <c r="H49" s="382"/>
      <c r="I49" s="381"/>
    </row>
    <row r="50" spans="6:9" ht="12.75">
      <c r="F50" s="383"/>
      <c r="G50" s="382"/>
      <c r="H50" s="382"/>
      <c r="I50" s="381"/>
    </row>
    <row r="51" spans="6:9" ht="12.75">
      <c r="F51" s="383"/>
      <c r="G51" s="382"/>
      <c r="H51" s="382"/>
      <c r="I51" s="381"/>
    </row>
    <row r="52" spans="6:9" ht="12.75">
      <c r="F52" s="383"/>
      <c r="G52" s="382"/>
      <c r="H52" s="382"/>
      <c r="I52" s="381"/>
    </row>
    <row r="53" spans="6:9" ht="12.75">
      <c r="F53" s="383"/>
      <c r="G53" s="382"/>
      <c r="H53" s="382"/>
      <c r="I53" s="381"/>
    </row>
    <row r="54" spans="6:9" ht="12.75">
      <c r="F54" s="383"/>
      <c r="G54" s="382"/>
      <c r="H54" s="382"/>
      <c r="I54" s="381"/>
    </row>
    <row r="55" spans="6:9" ht="12.75">
      <c r="F55" s="383"/>
      <c r="G55" s="382"/>
      <c r="H55" s="382"/>
      <c r="I55" s="381"/>
    </row>
    <row r="56" spans="6:9" ht="12.75">
      <c r="F56" s="383"/>
      <c r="G56" s="382"/>
      <c r="H56" s="382"/>
      <c r="I56" s="381"/>
    </row>
    <row r="57" spans="6:9" ht="12.75">
      <c r="F57" s="383"/>
      <c r="G57" s="382"/>
      <c r="H57" s="382"/>
      <c r="I57" s="381"/>
    </row>
    <row r="58" spans="6:9" ht="12.75">
      <c r="F58" s="383"/>
      <c r="G58" s="382"/>
      <c r="H58" s="382"/>
      <c r="I58" s="381"/>
    </row>
    <row r="59" spans="6:9" ht="12.75">
      <c r="F59" s="383"/>
      <c r="G59" s="382"/>
      <c r="H59" s="382"/>
      <c r="I59" s="381"/>
    </row>
    <row r="60" spans="6:9" ht="12.75">
      <c r="F60" s="383"/>
      <c r="G60" s="382"/>
      <c r="H60" s="382"/>
      <c r="I60" s="381"/>
    </row>
    <row r="61" spans="6:9" ht="12.75">
      <c r="F61" s="383"/>
      <c r="G61" s="382"/>
      <c r="H61" s="382"/>
      <c r="I61" s="381"/>
    </row>
    <row r="62" spans="6:9" ht="12.75">
      <c r="F62" s="383"/>
      <c r="G62" s="382"/>
      <c r="H62" s="382"/>
      <c r="I62" s="381"/>
    </row>
    <row r="63" spans="6:9" ht="12.75">
      <c r="F63" s="383"/>
      <c r="G63" s="382"/>
      <c r="H63" s="382"/>
      <c r="I63" s="381"/>
    </row>
    <row r="64" spans="6:9" ht="12.75">
      <c r="F64" s="383"/>
      <c r="G64" s="382"/>
      <c r="H64" s="382"/>
      <c r="I64" s="381"/>
    </row>
    <row r="65" spans="6:9" ht="12.75">
      <c r="F65" s="383"/>
      <c r="G65" s="382"/>
      <c r="H65" s="382"/>
      <c r="I65" s="381"/>
    </row>
    <row r="66" spans="6:9" ht="12.75">
      <c r="F66" s="383"/>
      <c r="G66" s="382"/>
      <c r="H66" s="382"/>
      <c r="I66" s="381"/>
    </row>
    <row r="67" spans="6:9" ht="12.75">
      <c r="F67" s="383"/>
      <c r="G67" s="382"/>
      <c r="H67" s="382"/>
      <c r="I67" s="381"/>
    </row>
    <row r="68" spans="6:9" ht="12.75">
      <c r="F68" s="383"/>
      <c r="G68" s="382"/>
      <c r="H68" s="382"/>
      <c r="I68" s="381"/>
    </row>
    <row r="69" spans="6:9" ht="12.75">
      <c r="F69" s="383"/>
      <c r="G69" s="382"/>
      <c r="H69" s="382"/>
      <c r="I69" s="381"/>
    </row>
    <row r="70" spans="6:9" ht="12.75">
      <c r="F70" s="383"/>
      <c r="G70" s="382"/>
      <c r="H70" s="382"/>
      <c r="I70" s="381"/>
    </row>
    <row r="71" spans="6:9" ht="12.75">
      <c r="F71" s="383"/>
      <c r="G71" s="382"/>
      <c r="H71" s="382"/>
      <c r="I71" s="381"/>
    </row>
    <row r="72" spans="6:9" ht="12.75">
      <c r="F72" s="383"/>
      <c r="G72" s="382"/>
      <c r="H72" s="382"/>
      <c r="I72" s="381"/>
    </row>
    <row r="73" spans="6:9" ht="12.75">
      <c r="F73" s="383"/>
      <c r="G73" s="382"/>
      <c r="H73" s="382"/>
      <c r="I73" s="381"/>
    </row>
    <row r="74" spans="6:9" ht="12.75">
      <c r="F74" s="383"/>
      <c r="G74" s="382"/>
      <c r="H74" s="382"/>
      <c r="I74" s="381"/>
    </row>
    <row r="75" spans="6:9" ht="12.75">
      <c r="F75" s="383"/>
      <c r="G75" s="382"/>
      <c r="H75" s="382"/>
      <c r="I75" s="381"/>
    </row>
    <row r="76" spans="6:9" ht="12.75">
      <c r="F76" s="383"/>
      <c r="G76" s="382"/>
      <c r="H76" s="382"/>
      <c r="I76" s="381"/>
    </row>
    <row r="77" spans="6:9" ht="12.75">
      <c r="F77" s="383"/>
      <c r="G77" s="382"/>
      <c r="H77" s="382"/>
      <c r="I77" s="381"/>
    </row>
    <row r="78" spans="6:9" ht="12.75">
      <c r="F78" s="383"/>
      <c r="G78" s="382"/>
      <c r="H78" s="382"/>
      <c r="I78" s="381"/>
    </row>
    <row r="79" spans="6:9" ht="12.75">
      <c r="F79" s="383"/>
      <c r="G79" s="382"/>
      <c r="H79" s="382"/>
      <c r="I79" s="381"/>
    </row>
    <row r="80" spans="6:9" ht="12.75">
      <c r="F80" s="383"/>
      <c r="G80" s="382"/>
      <c r="H80" s="382"/>
      <c r="I80" s="381"/>
    </row>
    <row r="81" spans="6:9" ht="12.75">
      <c r="F81" s="383"/>
      <c r="G81" s="382"/>
      <c r="H81" s="382"/>
      <c r="I81" s="381"/>
    </row>
    <row r="82" spans="6:9" ht="12.75">
      <c r="F82" s="383"/>
      <c r="G82" s="382"/>
      <c r="H82" s="382"/>
      <c r="I82" s="381"/>
    </row>
    <row r="83" spans="6:9" ht="12.75">
      <c r="F83" s="383"/>
      <c r="G83" s="382"/>
      <c r="H83" s="382"/>
      <c r="I83" s="381"/>
    </row>
    <row r="84" spans="6:9" ht="12.75">
      <c r="F84" s="383"/>
      <c r="G84" s="382"/>
      <c r="H84" s="382"/>
      <c r="I84" s="381"/>
    </row>
    <row r="85" spans="6:9" ht="12.75">
      <c r="F85" s="383"/>
      <c r="G85" s="382"/>
      <c r="H85" s="382"/>
      <c r="I85" s="381"/>
    </row>
    <row r="86" spans="6:9" ht="12.75">
      <c r="F86" s="383"/>
      <c r="G86" s="382"/>
      <c r="H86" s="382"/>
      <c r="I86" s="381"/>
    </row>
    <row r="87" spans="6:9" ht="12.75">
      <c r="F87" s="383"/>
      <c r="G87" s="382"/>
      <c r="H87" s="382"/>
      <c r="I87" s="381"/>
    </row>
    <row r="88" spans="6:9" ht="12.75">
      <c r="F88" s="383"/>
      <c r="G88" s="382"/>
      <c r="H88" s="382"/>
      <c r="I88" s="381"/>
    </row>
    <row r="89" spans="6:9" ht="12.75">
      <c r="F89" s="383"/>
      <c r="G89" s="382"/>
      <c r="H89" s="382"/>
      <c r="I89" s="381"/>
    </row>
  </sheetData>
  <mergeCells count="4">
    <mergeCell ref="A1:B1"/>
    <mergeCell ref="A2:B2"/>
    <mergeCell ref="G2:I2"/>
    <mergeCell ref="H38:I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CB267"/>
  <sheetViews>
    <sheetView showGridLines="0" showZeros="0" zoomScaleSheetLayoutView="100" workbookViewId="0" topLeftCell="A127">
      <selection activeCell="L163" sqref="L163"/>
    </sheetView>
  </sheetViews>
  <sheetFormatPr defaultColWidth="9.125" defaultRowHeight="12.75"/>
  <cols>
    <col min="1" max="1" width="4.50390625" style="434" customWidth="1"/>
    <col min="2" max="2" width="11.50390625" style="434" customWidth="1"/>
    <col min="3" max="3" width="40.50390625" style="434" customWidth="1"/>
    <col min="4" max="4" width="5.50390625" style="434" customWidth="1"/>
    <col min="5" max="5" width="8.50390625" style="435" customWidth="1"/>
    <col min="6" max="6" width="9.875" style="434" customWidth="1"/>
    <col min="7" max="7" width="13.875" style="434" customWidth="1"/>
    <col min="8" max="8" width="11.625" style="434" hidden="1" customWidth="1"/>
    <col min="9" max="9" width="11.50390625" style="434" hidden="1" customWidth="1"/>
    <col min="10" max="10" width="11.00390625" style="434" customWidth="1"/>
    <col min="11" max="11" width="10.50390625" style="434" customWidth="1"/>
    <col min="12" max="12" width="75.50390625" style="434" customWidth="1"/>
    <col min="13" max="13" width="45.375" style="434" customWidth="1"/>
    <col min="14" max="256" width="9.125" style="434" customWidth="1"/>
    <col min="257" max="257" width="4.50390625" style="434" customWidth="1"/>
    <col min="258" max="258" width="11.50390625" style="434" customWidth="1"/>
    <col min="259" max="259" width="40.50390625" style="434" customWidth="1"/>
    <col min="260" max="260" width="5.50390625" style="434" customWidth="1"/>
    <col min="261" max="261" width="8.50390625" style="434" customWidth="1"/>
    <col min="262" max="262" width="9.875" style="434" customWidth="1"/>
    <col min="263" max="263" width="13.875" style="434" customWidth="1"/>
    <col min="264" max="265" width="9.125" style="434" hidden="1" customWidth="1"/>
    <col min="266" max="266" width="11.00390625" style="434" customWidth="1"/>
    <col min="267" max="267" width="10.50390625" style="434" customWidth="1"/>
    <col min="268" max="268" width="75.50390625" style="434" customWidth="1"/>
    <col min="269" max="269" width="45.375" style="434" customWidth="1"/>
    <col min="270" max="512" width="9.125" style="434" customWidth="1"/>
    <col min="513" max="513" width="4.50390625" style="434" customWidth="1"/>
    <col min="514" max="514" width="11.50390625" style="434" customWidth="1"/>
    <col min="515" max="515" width="40.50390625" style="434" customWidth="1"/>
    <col min="516" max="516" width="5.50390625" style="434" customWidth="1"/>
    <col min="517" max="517" width="8.50390625" style="434" customWidth="1"/>
    <col min="518" max="518" width="9.875" style="434" customWidth="1"/>
    <col min="519" max="519" width="13.875" style="434" customWidth="1"/>
    <col min="520" max="521" width="9.125" style="434" hidden="1" customWidth="1"/>
    <col min="522" max="522" width="11.00390625" style="434" customWidth="1"/>
    <col min="523" max="523" width="10.50390625" style="434" customWidth="1"/>
    <col min="524" max="524" width="75.50390625" style="434" customWidth="1"/>
    <col min="525" max="525" width="45.375" style="434" customWidth="1"/>
    <col min="526" max="768" width="9.125" style="434" customWidth="1"/>
    <col min="769" max="769" width="4.50390625" style="434" customWidth="1"/>
    <col min="770" max="770" width="11.50390625" style="434" customWidth="1"/>
    <col min="771" max="771" width="40.50390625" style="434" customWidth="1"/>
    <col min="772" max="772" width="5.50390625" style="434" customWidth="1"/>
    <col min="773" max="773" width="8.50390625" style="434" customWidth="1"/>
    <col min="774" max="774" width="9.875" style="434" customWidth="1"/>
    <col min="775" max="775" width="13.875" style="434" customWidth="1"/>
    <col min="776" max="777" width="9.125" style="434" hidden="1" customWidth="1"/>
    <col min="778" max="778" width="11.00390625" style="434" customWidth="1"/>
    <col min="779" max="779" width="10.50390625" style="434" customWidth="1"/>
    <col min="780" max="780" width="75.50390625" style="434" customWidth="1"/>
    <col min="781" max="781" width="45.375" style="434" customWidth="1"/>
    <col min="782" max="1024" width="9.125" style="434" customWidth="1"/>
    <col min="1025" max="1025" width="4.50390625" style="434" customWidth="1"/>
    <col min="1026" max="1026" width="11.50390625" style="434" customWidth="1"/>
    <col min="1027" max="1027" width="40.50390625" style="434" customWidth="1"/>
    <col min="1028" max="1028" width="5.50390625" style="434" customWidth="1"/>
    <col min="1029" max="1029" width="8.50390625" style="434" customWidth="1"/>
    <col min="1030" max="1030" width="9.875" style="434" customWidth="1"/>
    <col min="1031" max="1031" width="13.875" style="434" customWidth="1"/>
    <col min="1032" max="1033" width="9.125" style="434" hidden="1" customWidth="1"/>
    <col min="1034" max="1034" width="11.00390625" style="434" customWidth="1"/>
    <col min="1035" max="1035" width="10.50390625" style="434" customWidth="1"/>
    <col min="1036" max="1036" width="75.50390625" style="434" customWidth="1"/>
    <col min="1037" max="1037" width="45.375" style="434" customWidth="1"/>
    <col min="1038" max="1280" width="9.125" style="434" customWidth="1"/>
    <col min="1281" max="1281" width="4.50390625" style="434" customWidth="1"/>
    <col min="1282" max="1282" width="11.50390625" style="434" customWidth="1"/>
    <col min="1283" max="1283" width="40.50390625" style="434" customWidth="1"/>
    <col min="1284" max="1284" width="5.50390625" style="434" customWidth="1"/>
    <col min="1285" max="1285" width="8.50390625" style="434" customWidth="1"/>
    <col min="1286" max="1286" width="9.875" style="434" customWidth="1"/>
    <col min="1287" max="1287" width="13.875" style="434" customWidth="1"/>
    <col min="1288" max="1289" width="9.125" style="434" hidden="1" customWidth="1"/>
    <col min="1290" max="1290" width="11.00390625" style="434" customWidth="1"/>
    <col min="1291" max="1291" width="10.50390625" style="434" customWidth="1"/>
    <col min="1292" max="1292" width="75.50390625" style="434" customWidth="1"/>
    <col min="1293" max="1293" width="45.375" style="434" customWidth="1"/>
    <col min="1294" max="1536" width="9.125" style="434" customWidth="1"/>
    <col min="1537" max="1537" width="4.50390625" style="434" customWidth="1"/>
    <col min="1538" max="1538" width="11.50390625" style="434" customWidth="1"/>
    <col min="1539" max="1539" width="40.50390625" style="434" customWidth="1"/>
    <col min="1540" max="1540" width="5.50390625" style="434" customWidth="1"/>
    <col min="1541" max="1541" width="8.50390625" style="434" customWidth="1"/>
    <col min="1542" max="1542" width="9.875" style="434" customWidth="1"/>
    <col min="1543" max="1543" width="13.875" style="434" customWidth="1"/>
    <col min="1544" max="1545" width="9.125" style="434" hidden="1" customWidth="1"/>
    <col min="1546" max="1546" width="11.00390625" style="434" customWidth="1"/>
    <col min="1547" max="1547" width="10.50390625" style="434" customWidth="1"/>
    <col min="1548" max="1548" width="75.50390625" style="434" customWidth="1"/>
    <col min="1549" max="1549" width="45.375" style="434" customWidth="1"/>
    <col min="1550" max="1792" width="9.125" style="434" customWidth="1"/>
    <col min="1793" max="1793" width="4.50390625" style="434" customWidth="1"/>
    <col min="1794" max="1794" width="11.50390625" style="434" customWidth="1"/>
    <col min="1795" max="1795" width="40.50390625" style="434" customWidth="1"/>
    <col min="1796" max="1796" width="5.50390625" style="434" customWidth="1"/>
    <col min="1797" max="1797" width="8.50390625" style="434" customWidth="1"/>
    <col min="1798" max="1798" width="9.875" style="434" customWidth="1"/>
    <col min="1799" max="1799" width="13.875" style="434" customWidth="1"/>
    <col min="1800" max="1801" width="9.125" style="434" hidden="1" customWidth="1"/>
    <col min="1802" max="1802" width="11.00390625" style="434" customWidth="1"/>
    <col min="1803" max="1803" width="10.50390625" style="434" customWidth="1"/>
    <col min="1804" max="1804" width="75.50390625" style="434" customWidth="1"/>
    <col min="1805" max="1805" width="45.375" style="434" customWidth="1"/>
    <col min="1806" max="2048" width="9.125" style="434" customWidth="1"/>
    <col min="2049" max="2049" width="4.50390625" style="434" customWidth="1"/>
    <col min="2050" max="2050" width="11.50390625" style="434" customWidth="1"/>
    <col min="2051" max="2051" width="40.50390625" style="434" customWidth="1"/>
    <col min="2052" max="2052" width="5.50390625" style="434" customWidth="1"/>
    <col min="2053" max="2053" width="8.50390625" style="434" customWidth="1"/>
    <col min="2054" max="2054" width="9.875" style="434" customWidth="1"/>
    <col min="2055" max="2055" width="13.875" style="434" customWidth="1"/>
    <col min="2056" max="2057" width="9.125" style="434" hidden="1" customWidth="1"/>
    <col min="2058" max="2058" width="11.00390625" style="434" customWidth="1"/>
    <col min="2059" max="2059" width="10.50390625" style="434" customWidth="1"/>
    <col min="2060" max="2060" width="75.50390625" style="434" customWidth="1"/>
    <col min="2061" max="2061" width="45.375" style="434" customWidth="1"/>
    <col min="2062" max="2304" width="9.125" style="434" customWidth="1"/>
    <col min="2305" max="2305" width="4.50390625" style="434" customWidth="1"/>
    <col min="2306" max="2306" width="11.50390625" style="434" customWidth="1"/>
    <col min="2307" max="2307" width="40.50390625" style="434" customWidth="1"/>
    <col min="2308" max="2308" width="5.50390625" style="434" customWidth="1"/>
    <col min="2309" max="2309" width="8.50390625" style="434" customWidth="1"/>
    <col min="2310" max="2310" width="9.875" style="434" customWidth="1"/>
    <col min="2311" max="2311" width="13.875" style="434" customWidth="1"/>
    <col min="2312" max="2313" width="9.125" style="434" hidden="1" customWidth="1"/>
    <col min="2314" max="2314" width="11.00390625" style="434" customWidth="1"/>
    <col min="2315" max="2315" width="10.50390625" style="434" customWidth="1"/>
    <col min="2316" max="2316" width="75.50390625" style="434" customWidth="1"/>
    <col min="2317" max="2317" width="45.375" style="434" customWidth="1"/>
    <col min="2318" max="2560" width="9.125" style="434" customWidth="1"/>
    <col min="2561" max="2561" width="4.50390625" style="434" customWidth="1"/>
    <col min="2562" max="2562" width="11.50390625" style="434" customWidth="1"/>
    <col min="2563" max="2563" width="40.50390625" style="434" customWidth="1"/>
    <col min="2564" max="2564" width="5.50390625" style="434" customWidth="1"/>
    <col min="2565" max="2565" width="8.50390625" style="434" customWidth="1"/>
    <col min="2566" max="2566" width="9.875" style="434" customWidth="1"/>
    <col min="2567" max="2567" width="13.875" style="434" customWidth="1"/>
    <col min="2568" max="2569" width="9.125" style="434" hidden="1" customWidth="1"/>
    <col min="2570" max="2570" width="11.00390625" style="434" customWidth="1"/>
    <col min="2571" max="2571" width="10.50390625" style="434" customWidth="1"/>
    <col min="2572" max="2572" width="75.50390625" style="434" customWidth="1"/>
    <col min="2573" max="2573" width="45.375" style="434" customWidth="1"/>
    <col min="2574" max="2816" width="9.125" style="434" customWidth="1"/>
    <col min="2817" max="2817" width="4.50390625" style="434" customWidth="1"/>
    <col min="2818" max="2818" width="11.50390625" style="434" customWidth="1"/>
    <col min="2819" max="2819" width="40.50390625" style="434" customWidth="1"/>
    <col min="2820" max="2820" width="5.50390625" style="434" customWidth="1"/>
    <col min="2821" max="2821" width="8.50390625" style="434" customWidth="1"/>
    <col min="2822" max="2822" width="9.875" style="434" customWidth="1"/>
    <col min="2823" max="2823" width="13.875" style="434" customWidth="1"/>
    <col min="2824" max="2825" width="9.125" style="434" hidden="1" customWidth="1"/>
    <col min="2826" max="2826" width="11.00390625" style="434" customWidth="1"/>
    <col min="2827" max="2827" width="10.50390625" style="434" customWidth="1"/>
    <col min="2828" max="2828" width="75.50390625" style="434" customWidth="1"/>
    <col min="2829" max="2829" width="45.375" style="434" customWidth="1"/>
    <col min="2830" max="3072" width="9.125" style="434" customWidth="1"/>
    <col min="3073" max="3073" width="4.50390625" style="434" customWidth="1"/>
    <col min="3074" max="3074" width="11.50390625" style="434" customWidth="1"/>
    <col min="3075" max="3075" width="40.50390625" style="434" customWidth="1"/>
    <col min="3076" max="3076" width="5.50390625" style="434" customWidth="1"/>
    <col min="3077" max="3077" width="8.50390625" style="434" customWidth="1"/>
    <col min="3078" max="3078" width="9.875" style="434" customWidth="1"/>
    <col min="3079" max="3079" width="13.875" style="434" customWidth="1"/>
    <col min="3080" max="3081" width="9.125" style="434" hidden="1" customWidth="1"/>
    <col min="3082" max="3082" width="11.00390625" style="434" customWidth="1"/>
    <col min="3083" max="3083" width="10.50390625" style="434" customWidth="1"/>
    <col min="3084" max="3084" width="75.50390625" style="434" customWidth="1"/>
    <col min="3085" max="3085" width="45.375" style="434" customWidth="1"/>
    <col min="3086" max="3328" width="9.125" style="434" customWidth="1"/>
    <col min="3329" max="3329" width="4.50390625" style="434" customWidth="1"/>
    <col min="3330" max="3330" width="11.50390625" style="434" customWidth="1"/>
    <col min="3331" max="3331" width="40.50390625" style="434" customWidth="1"/>
    <col min="3332" max="3332" width="5.50390625" style="434" customWidth="1"/>
    <col min="3333" max="3333" width="8.50390625" style="434" customWidth="1"/>
    <col min="3334" max="3334" width="9.875" style="434" customWidth="1"/>
    <col min="3335" max="3335" width="13.875" style="434" customWidth="1"/>
    <col min="3336" max="3337" width="9.125" style="434" hidden="1" customWidth="1"/>
    <col min="3338" max="3338" width="11.00390625" style="434" customWidth="1"/>
    <col min="3339" max="3339" width="10.50390625" style="434" customWidth="1"/>
    <col min="3340" max="3340" width="75.50390625" style="434" customWidth="1"/>
    <col min="3341" max="3341" width="45.375" style="434" customWidth="1"/>
    <col min="3342" max="3584" width="9.125" style="434" customWidth="1"/>
    <col min="3585" max="3585" width="4.50390625" style="434" customWidth="1"/>
    <col min="3586" max="3586" width="11.50390625" style="434" customWidth="1"/>
    <col min="3587" max="3587" width="40.50390625" style="434" customWidth="1"/>
    <col min="3588" max="3588" width="5.50390625" style="434" customWidth="1"/>
    <col min="3589" max="3589" width="8.50390625" style="434" customWidth="1"/>
    <col min="3590" max="3590" width="9.875" style="434" customWidth="1"/>
    <col min="3591" max="3591" width="13.875" style="434" customWidth="1"/>
    <col min="3592" max="3593" width="9.125" style="434" hidden="1" customWidth="1"/>
    <col min="3594" max="3594" width="11.00390625" style="434" customWidth="1"/>
    <col min="3595" max="3595" width="10.50390625" style="434" customWidth="1"/>
    <col min="3596" max="3596" width="75.50390625" style="434" customWidth="1"/>
    <col min="3597" max="3597" width="45.375" style="434" customWidth="1"/>
    <col min="3598" max="3840" width="9.125" style="434" customWidth="1"/>
    <col min="3841" max="3841" width="4.50390625" style="434" customWidth="1"/>
    <col min="3842" max="3842" width="11.50390625" style="434" customWidth="1"/>
    <col min="3843" max="3843" width="40.50390625" style="434" customWidth="1"/>
    <col min="3844" max="3844" width="5.50390625" style="434" customWidth="1"/>
    <col min="3845" max="3845" width="8.50390625" style="434" customWidth="1"/>
    <col min="3846" max="3846" width="9.875" style="434" customWidth="1"/>
    <col min="3847" max="3847" width="13.875" style="434" customWidth="1"/>
    <col min="3848" max="3849" width="9.125" style="434" hidden="1" customWidth="1"/>
    <col min="3850" max="3850" width="11.00390625" style="434" customWidth="1"/>
    <col min="3851" max="3851" width="10.50390625" style="434" customWidth="1"/>
    <col min="3852" max="3852" width="75.50390625" style="434" customWidth="1"/>
    <col min="3853" max="3853" width="45.375" style="434" customWidth="1"/>
    <col min="3854" max="4096" width="9.125" style="434" customWidth="1"/>
    <col min="4097" max="4097" width="4.50390625" style="434" customWidth="1"/>
    <col min="4098" max="4098" width="11.50390625" style="434" customWidth="1"/>
    <col min="4099" max="4099" width="40.50390625" style="434" customWidth="1"/>
    <col min="4100" max="4100" width="5.50390625" style="434" customWidth="1"/>
    <col min="4101" max="4101" width="8.50390625" style="434" customWidth="1"/>
    <col min="4102" max="4102" width="9.875" style="434" customWidth="1"/>
    <col min="4103" max="4103" width="13.875" style="434" customWidth="1"/>
    <col min="4104" max="4105" width="9.125" style="434" hidden="1" customWidth="1"/>
    <col min="4106" max="4106" width="11.00390625" style="434" customWidth="1"/>
    <col min="4107" max="4107" width="10.50390625" style="434" customWidth="1"/>
    <col min="4108" max="4108" width="75.50390625" style="434" customWidth="1"/>
    <col min="4109" max="4109" width="45.375" style="434" customWidth="1"/>
    <col min="4110" max="4352" width="9.125" style="434" customWidth="1"/>
    <col min="4353" max="4353" width="4.50390625" style="434" customWidth="1"/>
    <col min="4354" max="4354" width="11.50390625" style="434" customWidth="1"/>
    <col min="4355" max="4355" width="40.50390625" style="434" customWidth="1"/>
    <col min="4356" max="4356" width="5.50390625" style="434" customWidth="1"/>
    <col min="4357" max="4357" width="8.50390625" style="434" customWidth="1"/>
    <col min="4358" max="4358" width="9.875" style="434" customWidth="1"/>
    <col min="4359" max="4359" width="13.875" style="434" customWidth="1"/>
    <col min="4360" max="4361" width="9.125" style="434" hidden="1" customWidth="1"/>
    <col min="4362" max="4362" width="11.00390625" style="434" customWidth="1"/>
    <col min="4363" max="4363" width="10.50390625" style="434" customWidth="1"/>
    <col min="4364" max="4364" width="75.50390625" style="434" customWidth="1"/>
    <col min="4365" max="4365" width="45.375" style="434" customWidth="1"/>
    <col min="4366" max="4608" width="9.125" style="434" customWidth="1"/>
    <col min="4609" max="4609" width="4.50390625" style="434" customWidth="1"/>
    <col min="4610" max="4610" width="11.50390625" style="434" customWidth="1"/>
    <col min="4611" max="4611" width="40.50390625" style="434" customWidth="1"/>
    <col min="4612" max="4612" width="5.50390625" style="434" customWidth="1"/>
    <col min="4613" max="4613" width="8.50390625" style="434" customWidth="1"/>
    <col min="4614" max="4614" width="9.875" style="434" customWidth="1"/>
    <col min="4615" max="4615" width="13.875" style="434" customWidth="1"/>
    <col min="4616" max="4617" width="9.125" style="434" hidden="1" customWidth="1"/>
    <col min="4618" max="4618" width="11.00390625" style="434" customWidth="1"/>
    <col min="4619" max="4619" width="10.50390625" style="434" customWidth="1"/>
    <col min="4620" max="4620" width="75.50390625" style="434" customWidth="1"/>
    <col min="4621" max="4621" width="45.375" style="434" customWidth="1"/>
    <col min="4622" max="4864" width="9.125" style="434" customWidth="1"/>
    <col min="4865" max="4865" width="4.50390625" style="434" customWidth="1"/>
    <col min="4866" max="4866" width="11.50390625" style="434" customWidth="1"/>
    <col min="4867" max="4867" width="40.50390625" style="434" customWidth="1"/>
    <col min="4868" max="4868" width="5.50390625" style="434" customWidth="1"/>
    <col min="4869" max="4869" width="8.50390625" style="434" customWidth="1"/>
    <col min="4870" max="4870" width="9.875" style="434" customWidth="1"/>
    <col min="4871" max="4871" width="13.875" style="434" customWidth="1"/>
    <col min="4872" max="4873" width="9.125" style="434" hidden="1" customWidth="1"/>
    <col min="4874" max="4874" width="11.00390625" style="434" customWidth="1"/>
    <col min="4875" max="4875" width="10.50390625" style="434" customWidth="1"/>
    <col min="4876" max="4876" width="75.50390625" style="434" customWidth="1"/>
    <col min="4877" max="4877" width="45.375" style="434" customWidth="1"/>
    <col min="4878" max="5120" width="9.125" style="434" customWidth="1"/>
    <col min="5121" max="5121" width="4.50390625" style="434" customWidth="1"/>
    <col min="5122" max="5122" width="11.50390625" style="434" customWidth="1"/>
    <col min="5123" max="5123" width="40.50390625" style="434" customWidth="1"/>
    <col min="5124" max="5124" width="5.50390625" style="434" customWidth="1"/>
    <col min="5125" max="5125" width="8.50390625" style="434" customWidth="1"/>
    <col min="5126" max="5126" width="9.875" style="434" customWidth="1"/>
    <col min="5127" max="5127" width="13.875" style="434" customWidth="1"/>
    <col min="5128" max="5129" width="9.125" style="434" hidden="1" customWidth="1"/>
    <col min="5130" max="5130" width="11.00390625" style="434" customWidth="1"/>
    <col min="5131" max="5131" width="10.50390625" style="434" customWidth="1"/>
    <col min="5132" max="5132" width="75.50390625" style="434" customWidth="1"/>
    <col min="5133" max="5133" width="45.375" style="434" customWidth="1"/>
    <col min="5134" max="5376" width="9.125" style="434" customWidth="1"/>
    <col min="5377" max="5377" width="4.50390625" style="434" customWidth="1"/>
    <col min="5378" max="5378" width="11.50390625" style="434" customWidth="1"/>
    <col min="5379" max="5379" width="40.50390625" style="434" customWidth="1"/>
    <col min="5380" max="5380" width="5.50390625" style="434" customWidth="1"/>
    <col min="5381" max="5381" width="8.50390625" style="434" customWidth="1"/>
    <col min="5382" max="5382" width="9.875" style="434" customWidth="1"/>
    <col min="5383" max="5383" width="13.875" style="434" customWidth="1"/>
    <col min="5384" max="5385" width="9.125" style="434" hidden="1" customWidth="1"/>
    <col min="5386" max="5386" width="11.00390625" style="434" customWidth="1"/>
    <col min="5387" max="5387" width="10.50390625" style="434" customWidth="1"/>
    <col min="5388" max="5388" width="75.50390625" style="434" customWidth="1"/>
    <col min="5389" max="5389" width="45.375" style="434" customWidth="1"/>
    <col min="5390" max="5632" width="9.125" style="434" customWidth="1"/>
    <col min="5633" max="5633" width="4.50390625" style="434" customWidth="1"/>
    <col min="5634" max="5634" width="11.50390625" style="434" customWidth="1"/>
    <col min="5635" max="5635" width="40.50390625" style="434" customWidth="1"/>
    <col min="5636" max="5636" width="5.50390625" style="434" customWidth="1"/>
    <col min="5637" max="5637" width="8.50390625" style="434" customWidth="1"/>
    <col min="5638" max="5638" width="9.875" style="434" customWidth="1"/>
    <col min="5639" max="5639" width="13.875" style="434" customWidth="1"/>
    <col min="5640" max="5641" width="9.125" style="434" hidden="1" customWidth="1"/>
    <col min="5642" max="5642" width="11.00390625" style="434" customWidth="1"/>
    <col min="5643" max="5643" width="10.50390625" style="434" customWidth="1"/>
    <col min="5644" max="5644" width="75.50390625" style="434" customWidth="1"/>
    <col min="5645" max="5645" width="45.375" style="434" customWidth="1"/>
    <col min="5646" max="5888" width="9.125" style="434" customWidth="1"/>
    <col min="5889" max="5889" width="4.50390625" style="434" customWidth="1"/>
    <col min="5890" max="5890" width="11.50390625" style="434" customWidth="1"/>
    <col min="5891" max="5891" width="40.50390625" style="434" customWidth="1"/>
    <col min="5892" max="5892" width="5.50390625" style="434" customWidth="1"/>
    <col min="5893" max="5893" width="8.50390625" style="434" customWidth="1"/>
    <col min="5894" max="5894" width="9.875" style="434" customWidth="1"/>
    <col min="5895" max="5895" width="13.875" style="434" customWidth="1"/>
    <col min="5896" max="5897" width="9.125" style="434" hidden="1" customWidth="1"/>
    <col min="5898" max="5898" width="11.00390625" style="434" customWidth="1"/>
    <col min="5899" max="5899" width="10.50390625" style="434" customWidth="1"/>
    <col min="5900" max="5900" width="75.50390625" style="434" customWidth="1"/>
    <col min="5901" max="5901" width="45.375" style="434" customWidth="1"/>
    <col min="5902" max="6144" width="9.125" style="434" customWidth="1"/>
    <col min="6145" max="6145" width="4.50390625" style="434" customWidth="1"/>
    <col min="6146" max="6146" width="11.50390625" style="434" customWidth="1"/>
    <col min="6147" max="6147" width="40.50390625" style="434" customWidth="1"/>
    <col min="6148" max="6148" width="5.50390625" style="434" customWidth="1"/>
    <col min="6149" max="6149" width="8.50390625" style="434" customWidth="1"/>
    <col min="6150" max="6150" width="9.875" style="434" customWidth="1"/>
    <col min="6151" max="6151" width="13.875" style="434" customWidth="1"/>
    <col min="6152" max="6153" width="9.125" style="434" hidden="1" customWidth="1"/>
    <col min="6154" max="6154" width="11.00390625" style="434" customWidth="1"/>
    <col min="6155" max="6155" width="10.50390625" style="434" customWidth="1"/>
    <col min="6156" max="6156" width="75.50390625" style="434" customWidth="1"/>
    <col min="6157" max="6157" width="45.375" style="434" customWidth="1"/>
    <col min="6158" max="6400" width="9.125" style="434" customWidth="1"/>
    <col min="6401" max="6401" width="4.50390625" style="434" customWidth="1"/>
    <col min="6402" max="6402" width="11.50390625" style="434" customWidth="1"/>
    <col min="6403" max="6403" width="40.50390625" style="434" customWidth="1"/>
    <col min="6404" max="6404" width="5.50390625" style="434" customWidth="1"/>
    <col min="6405" max="6405" width="8.50390625" style="434" customWidth="1"/>
    <col min="6406" max="6406" width="9.875" style="434" customWidth="1"/>
    <col min="6407" max="6407" width="13.875" style="434" customWidth="1"/>
    <col min="6408" max="6409" width="9.125" style="434" hidden="1" customWidth="1"/>
    <col min="6410" max="6410" width="11.00390625" style="434" customWidth="1"/>
    <col min="6411" max="6411" width="10.50390625" style="434" customWidth="1"/>
    <col min="6412" max="6412" width="75.50390625" style="434" customWidth="1"/>
    <col min="6413" max="6413" width="45.375" style="434" customWidth="1"/>
    <col min="6414" max="6656" width="9.125" style="434" customWidth="1"/>
    <col min="6657" max="6657" width="4.50390625" style="434" customWidth="1"/>
    <col min="6658" max="6658" width="11.50390625" style="434" customWidth="1"/>
    <col min="6659" max="6659" width="40.50390625" style="434" customWidth="1"/>
    <col min="6660" max="6660" width="5.50390625" style="434" customWidth="1"/>
    <col min="6661" max="6661" width="8.50390625" style="434" customWidth="1"/>
    <col min="6662" max="6662" width="9.875" style="434" customWidth="1"/>
    <col min="6663" max="6663" width="13.875" style="434" customWidth="1"/>
    <col min="6664" max="6665" width="9.125" style="434" hidden="1" customWidth="1"/>
    <col min="6666" max="6666" width="11.00390625" style="434" customWidth="1"/>
    <col min="6667" max="6667" width="10.50390625" style="434" customWidth="1"/>
    <col min="6668" max="6668" width="75.50390625" style="434" customWidth="1"/>
    <col min="6669" max="6669" width="45.375" style="434" customWidth="1"/>
    <col min="6670" max="6912" width="9.125" style="434" customWidth="1"/>
    <col min="6913" max="6913" width="4.50390625" style="434" customWidth="1"/>
    <col min="6914" max="6914" width="11.50390625" style="434" customWidth="1"/>
    <col min="6915" max="6915" width="40.50390625" style="434" customWidth="1"/>
    <col min="6916" max="6916" width="5.50390625" style="434" customWidth="1"/>
    <col min="6917" max="6917" width="8.50390625" style="434" customWidth="1"/>
    <col min="6918" max="6918" width="9.875" style="434" customWidth="1"/>
    <col min="6919" max="6919" width="13.875" style="434" customWidth="1"/>
    <col min="6920" max="6921" width="9.125" style="434" hidden="1" customWidth="1"/>
    <col min="6922" max="6922" width="11.00390625" style="434" customWidth="1"/>
    <col min="6923" max="6923" width="10.50390625" style="434" customWidth="1"/>
    <col min="6924" max="6924" width="75.50390625" style="434" customWidth="1"/>
    <col min="6925" max="6925" width="45.375" style="434" customWidth="1"/>
    <col min="6926" max="7168" width="9.125" style="434" customWidth="1"/>
    <col min="7169" max="7169" width="4.50390625" style="434" customWidth="1"/>
    <col min="7170" max="7170" width="11.50390625" style="434" customWidth="1"/>
    <col min="7171" max="7171" width="40.50390625" style="434" customWidth="1"/>
    <col min="7172" max="7172" width="5.50390625" style="434" customWidth="1"/>
    <col min="7173" max="7173" width="8.50390625" style="434" customWidth="1"/>
    <col min="7174" max="7174" width="9.875" style="434" customWidth="1"/>
    <col min="7175" max="7175" width="13.875" style="434" customWidth="1"/>
    <col min="7176" max="7177" width="9.125" style="434" hidden="1" customWidth="1"/>
    <col min="7178" max="7178" width="11.00390625" style="434" customWidth="1"/>
    <col min="7179" max="7179" width="10.50390625" style="434" customWidth="1"/>
    <col min="7180" max="7180" width="75.50390625" style="434" customWidth="1"/>
    <col min="7181" max="7181" width="45.375" style="434" customWidth="1"/>
    <col min="7182" max="7424" width="9.125" style="434" customWidth="1"/>
    <col min="7425" max="7425" width="4.50390625" style="434" customWidth="1"/>
    <col min="7426" max="7426" width="11.50390625" style="434" customWidth="1"/>
    <col min="7427" max="7427" width="40.50390625" style="434" customWidth="1"/>
    <col min="7428" max="7428" width="5.50390625" style="434" customWidth="1"/>
    <col min="7429" max="7429" width="8.50390625" style="434" customWidth="1"/>
    <col min="7430" max="7430" width="9.875" style="434" customWidth="1"/>
    <col min="7431" max="7431" width="13.875" style="434" customWidth="1"/>
    <col min="7432" max="7433" width="9.125" style="434" hidden="1" customWidth="1"/>
    <col min="7434" max="7434" width="11.00390625" style="434" customWidth="1"/>
    <col min="7435" max="7435" width="10.50390625" style="434" customWidth="1"/>
    <col min="7436" max="7436" width="75.50390625" style="434" customWidth="1"/>
    <col min="7437" max="7437" width="45.375" style="434" customWidth="1"/>
    <col min="7438" max="7680" width="9.125" style="434" customWidth="1"/>
    <col min="7681" max="7681" width="4.50390625" style="434" customWidth="1"/>
    <col min="7682" max="7682" width="11.50390625" style="434" customWidth="1"/>
    <col min="7683" max="7683" width="40.50390625" style="434" customWidth="1"/>
    <col min="7684" max="7684" width="5.50390625" style="434" customWidth="1"/>
    <col min="7685" max="7685" width="8.50390625" style="434" customWidth="1"/>
    <col min="7686" max="7686" width="9.875" style="434" customWidth="1"/>
    <col min="7687" max="7687" width="13.875" style="434" customWidth="1"/>
    <col min="7688" max="7689" width="9.125" style="434" hidden="1" customWidth="1"/>
    <col min="7690" max="7690" width="11.00390625" style="434" customWidth="1"/>
    <col min="7691" max="7691" width="10.50390625" style="434" customWidth="1"/>
    <col min="7692" max="7692" width="75.50390625" style="434" customWidth="1"/>
    <col min="7693" max="7693" width="45.375" style="434" customWidth="1"/>
    <col min="7694" max="7936" width="9.125" style="434" customWidth="1"/>
    <col min="7937" max="7937" width="4.50390625" style="434" customWidth="1"/>
    <col min="7938" max="7938" width="11.50390625" style="434" customWidth="1"/>
    <col min="7939" max="7939" width="40.50390625" style="434" customWidth="1"/>
    <col min="7940" max="7940" width="5.50390625" style="434" customWidth="1"/>
    <col min="7941" max="7941" width="8.50390625" style="434" customWidth="1"/>
    <col min="7942" max="7942" width="9.875" style="434" customWidth="1"/>
    <col min="7943" max="7943" width="13.875" style="434" customWidth="1"/>
    <col min="7944" max="7945" width="9.125" style="434" hidden="1" customWidth="1"/>
    <col min="7946" max="7946" width="11.00390625" style="434" customWidth="1"/>
    <col min="7947" max="7947" width="10.50390625" style="434" customWidth="1"/>
    <col min="7948" max="7948" width="75.50390625" style="434" customWidth="1"/>
    <col min="7949" max="7949" width="45.375" style="434" customWidth="1"/>
    <col min="7950" max="8192" width="9.125" style="434" customWidth="1"/>
    <col min="8193" max="8193" width="4.50390625" style="434" customWidth="1"/>
    <col min="8194" max="8194" width="11.50390625" style="434" customWidth="1"/>
    <col min="8195" max="8195" width="40.50390625" style="434" customWidth="1"/>
    <col min="8196" max="8196" width="5.50390625" style="434" customWidth="1"/>
    <col min="8197" max="8197" width="8.50390625" style="434" customWidth="1"/>
    <col min="8198" max="8198" width="9.875" style="434" customWidth="1"/>
    <col min="8199" max="8199" width="13.875" style="434" customWidth="1"/>
    <col min="8200" max="8201" width="9.125" style="434" hidden="1" customWidth="1"/>
    <col min="8202" max="8202" width="11.00390625" style="434" customWidth="1"/>
    <col min="8203" max="8203" width="10.50390625" style="434" customWidth="1"/>
    <col min="8204" max="8204" width="75.50390625" style="434" customWidth="1"/>
    <col min="8205" max="8205" width="45.375" style="434" customWidth="1"/>
    <col min="8206" max="8448" width="9.125" style="434" customWidth="1"/>
    <col min="8449" max="8449" width="4.50390625" style="434" customWidth="1"/>
    <col min="8450" max="8450" width="11.50390625" style="434" customWidth="1"/>
    <col min="8451" max="8451" width="40.50390625" style="434" customWidth="1"/>
    <col min="8452" max="8452" width="5.50390625" style="434" customWidth="1"/>
    <col min="8453" max="8453" width="8.50390625" style="434" customWidth="1"/>
    <col min="8454" max="8454" width="9.875" style="434" customWidth="1"/>
    <col min="8455" max="8455" width="13.875" style="434" customWidth="1"/>
    <col min="8456" max="8457" width="9.125" style="434" hidden="1" customWidth="1"/>
    <col min="8458" max="8458" width="11.00390625" style="434" customWidth="1"/>
    <col min="8459" max="8459" width="10.50390625" style="434" customWidth="1"/>
    <col min="8460" max="8460" width="75.50390625" style="434" customWidth="1"/>
    <col min="8461" max="8461" width="45.375" style="434" customWidth="1"/>
    <col min="8462" max="8704" width="9.125" style="434" customWidth="1"/>
    <col min="8705" max="8705" width="4.50390625" style="434" customWidth="1"/>
    <col min="8706" max="8706" width="11.50390625" style="434" customWidth="1"/>
    <col min="8707" max="8707" width="40.50390625" style="434" customWidth="1"/>
    <col min="8708" max="8708" width="5.50390625" style="434" customWidth="1"/>
    <col min="8709" max="8709" width="8.50390625" style="434" customWidth="1"/>
    <col min="8710" max="8710" width="9.875" style="434" customWidth="1"/>
    <col min="8711" max="8711" width="13.875" style="434" customWidth="1"/>
    <col min="8712" max="8713" width="9.125" style="434" hidden="1" customWidth="1"/>
    <col min="8714" max="8714" width="11.00390625" style="434" customWidth="1"/>
    <col min="8715" max="8715" width="10.50390625" style="434" customWidth="1"/>
    <col min="8716" max="8716" width="75.50390625" style="434" customWidth="1"/>
    <col min="8717" max="8717" width="45.375" style="434" customWidth="1"/>
    <col min="8718" max="8960" width="9.125" style="434" customWidth="1"/>
    <col min="8961" max="8961" width="4.50390625" style="434" customWidth="1"/>
    <col min="8962" max="8962" width="11.50390625" style="434" customWidth="1"/>
    <col min="8963" max="8963" width="40.50390625" style="434" customWidth="1"/>
    <col min="8964" max="8964" width="5.50390625" style="434" customWidth="1"/>
    <col min="8965" max="8965" width="8.50390625" style="434" customWidth="1"/>
    <col min="8966" max="8966" width="9.875" style="434" customWidth="1"/>
    <col min="8967" max="8967" width="13.875" style="434" customWidth="1"/>
    <col min="8968" max="8969" width="9.125" style="434" hidden="1" customWidth="1"/>
    <col min="8970" max="8970" width="11.00390625" style="434" customWidth="1"/>
    <col min="8971" max="8971" width="10.50390625" style="434" customWidth="1"/>
    <col min="8972" max="8972" width="75.50390625" style="434" customWidth="1"/>
    <col min="8973" max="8973" width="45.375" style="434" customWidth="1"/>
    <col min="8974" max="9216" width="9.125" style="434" customWidth="1"/>
    <col min="9217" max="9217" width="4.50390625" style="434" customWidth="1"/>
    <col min="9218" max="9218" width="11.50390625" style="434" customWidth="1"/>
    <col min="9219" max="9219" width="40.50390625" style="434" customWidth="1"/>
    <col min="9220" max="9220" width="5.50390625" style="434" customWidth="1"/>
    <col min="9221" max="9221" width="8.50390625" style="434" customWidth="1"/>
    <col min="9222" max="9222" width="9.875" style="434" customWidth="1"/>
    <col min="9223" max="9223" width="13.875" style="434" customWidth="1"/>
    <col min="9224" max="9225" width="9.125" style="434" hidden="1" customWidth="1"/>
    <col min="9226" max="9226" width="11.00390625" style="434" customWidth="1"/>
    <col min="9227" max="9227" width="10.50390625" style="434" customWidth="1"/>
    <col min="9228" max="9228" width="75.50390625" style="434" customWidth="1"/>
    <col min="9229" max="9229" width="45.375" style="434" customWidth="1"/>
    <col min="9230" max="9472" width="9.125" style="434" customWidth="1"/>
    <col min="9473" max="9473" width="4.50390625" style="434" customWidth="1"/>
    <col min="9474" max="9474" width="11.50390625" style="434" customWidth="1"/>
    <col min="9475" max="9475" width="40.50390625" style="434" customWidth="1"/>
    <col min="9476" max="9476" width="5.50390625" style="434" customWidth="1"/>
    <col min="9477" max="9477" width="8.50390625" style="434" customWidth="1"/>
    <col min="9478" max="9478" width="9.875" style="434" customWidth="1"/>
    <col min="9479" max="9479" width="13.875" style="434" customWidth="1"/>
    <col min="9480" max="9481" width="9.125" style="434" hidden="1" customWidth="1"/>
    <col min="9482" max="9482" width="11.00390625" style="434" customWidth="1"/>
    <col min="9483" max="9483" width="10.50390625" style="434" customWidth="1"/>
    <col min="9484" max="9484" width="75.50390625" style="434" customWidth="1"/>
    <col min="9485" max="9485" width="45.375" style="434" customWidth="1"/>
    <col min="9486" max="9728" width="9.125" style="434" customWidth="1"/>
    <col min="9729" max="9729" width="4.50390625" style="434" customWidth="1"/>
    <col min="9730" max="9730" width="11.50390625" style="434" customWidth="1"/>
    <col min="9731" max="9731" width="40.50390625" style="434" customWidth="1"/>
    <col min="9732" max="9732" width="5.50390625" style="434" customWidth="1"/>
    <col min="9733" max="9733" width="8.50390625" style="434" customWidth="1"/>
    <col min="9734" max="9734" width="9.875" style="434" customWidth="1"/>
    <col min="9735" max="9735" width="13.875" style="434" customWidth="1"/>
    <col min="9736" max="9737" width="9.125" style="434" hidden="1" customWidth="1"/>
    <col min="9738" max="9738" width="11.00390625" style="434" customWidth="1"/>
    <col min="9739" max="9739" width="10.50390625" style="434" customWidth="1"/>
    <col min="9740" max="9740" width="75.50390625" style="434" customWidth="1"/>
    <col min="9741" max="9741" width="45.375" style="434" customWidth="1"/>
    <col min="9742" max="9984" width="9.125" style="434" customWidth="1"/>
    <col min="9985" max="9985" width="4.50390625" style="434" customWidth="1"/>
    <col min="9986" max="9986" width="11.50390625" style="434" customWidth="1"/>
    <col min="9987" max="9987" width="40.50390625" style="434" customWidth="1"/>
    <col min="9988" max="9988" width="5.50390625" style="434" customWidth="1"/>
    <col min="9989" max="9989" width="8.50390625" style="434" customWidth="1"/>
    <col min="9990" max="9990" width="9.875" style="434" customWidth="1"/>
    <col min="9991" max="9991" width="13.875" style="434" customWidth="1"/>
    <col min="9992" max="9993" width="9.125" style="434" hidden="1" customWidth="1"/>
    <col min="9994" max="9994" width="11.00390625" style="434" customWidth="1"/>
    <col min="9995" max="9995" width="10.50390625" style="434" customWidth="1"/>
    <col min="9996" max="9996" width="75.50390625" style="434" customWidth="1"/>
    <col min="9997" max="9997" width="45.375" style="434" customWidth="1"/>
    <col min="9998" max="10240" width="9.125" style="434" customWidth="1"/>
    <col min="10241" max="10241" width="4.50390625" style="434" customWidth="1"/>
    <col min="10242" max="10242" width="11.50390625" style="434" customWidth="1"/>
    <col min="10243" max="10243" width="40.50390625" style="434" customWidth="1"/>
    <col min="10244" max="10244" width="5.50390625" style="434" customWidth="1"/>
    <col min="10245" max="10245" width="8.50390625" style="434" customWidth="1"/>
    <col min="10246" max="10246" width="9.875" style="434" customWidth="1"/>
    <col min="10247" max="10247" width="13.875" style="434" customWidth="1"/>
    <col min="10248" max="10249" width="9.125" style="434" hidden="1" customWidth="1"/>
    <col min="10250" max="10250" width="11.00390625" style="434" customWidth="1"/>
    <col min="10251" max="10251" width="10.50390625" style="434" customWidth="1"/>
    <col min="10252" max="10252" width="75.50390625" style="434" customWidth="1"/>
    <col min="10253" max="10253" width="45.375" style="434" customWidth="1"/>
    <col min="10254" max="10496" width="9.125" style="434" customWidth="1"/>
    <col min="10497" max="10497" width="4.50390625" style="434" customWidth="1"/>
    <col min="10498" max="10498" width="11.50390625" style="434" customWidth="1"/>
    <col min="10499" max="10499" width="40.50390625" style="434" customWidth="1"/>
    <col min="10500" max="10500" width="5.50390625" style="434" customWidth="1"/>
    <col min="10501" max="10501" width="8.50390625" style="434" customWidth="1"/>
    <col min="10502" max="10502" width="9.875" style="434" customWidth="1"/>
    <col min="10503" max="10503" width="13.875" style="434" customWidth="1"/>
    <col min="10504" max="10505" width="9.125" style="434" hidden="1" customWidth="1"/>
    <col min="10506" max="10506" width="11.00390625" style="434" customWidth="1"/>
    <col min="10507" max="10507" width="10.50390625" style="434" customWidth="1"/>
    <col min="10508" max="10508" width="75.50390625" style="434" customWidth="1"/>
    <col min="10509" max="10509" width="45.375" style="434" customWidth="1"/>
    <col min="10510" max="10752" width="9.125" style="434" customWidth="1"/>
    <col min="10753" max="10753" width="4.50390625" style="434" customWidth="1"/>
    <col min="10754" max="10754" width="11.50390625" style="434" customWidth="1"/>
    <col min="10755" max="10755" width="40.50390625" style="434" customWidth="1"/>
    <col min="10756" max="10756" width="5.50390625" style="434" customWidth="1"/>
    <col min="10757" max="10757" width="8.50390625" style="434" customWidth="1"/>
    <col min="10758" max="10758" width="9.875" style="434" customWidth="1"/>
    <col min="10759" max="10759" width="13.875" style="434" customWidth="1"/>
    <col min="10760" max="10761" width="9.125" style="434" hidden="1" customWidth="1"/>
    <col min="10762" max="10762" width="11.00390625" style="434" customWidth="1"/>
    <col min="10763" max="10763" width="10.50390625" style="434" customWidth="1"/>
    <col min="10764" max="10764" width="75.50390625" style="434" customWidth="1"/>
    <col min="10765" max="10765" width="45.375" style="434" customWidth="1"/>
    <col min="10766" max="11008" width="9.125" style="434" customWidth="1"/>
    <col min="11009" max="11009" width="4.50390625" style="434" customWidth="1"/>
    <col min="11010" max="11010" width="11.50390625" style="434" customWidth="1"/>
    <col min="11011" max="11011" width="40.50390625" style="434" customWidth="1"/>
    <col min="11012" max="11012" width="5.50390625" style="434" customWidth="1"/>
    <col min="11013" max="11013" width="8.50390625" style="434" customWidth="1"/>
    <col min="11014" max="11014" width="9.875" style="434" customWidth="1"/>
    <col min="11015" max="11015" width="13.875" style="434" customWidth="1"/>
    <col min="11016" max="11017" width="9.125" style="434" hidden="1" customWidth="1"/>
    <col min="11018" max="11018" width="11.00390625" style="434" customWidth="1"/>
    <col min="11019" max="11019" width="10.50390625" style="434" customWidth="1"/>
    <col min="11020" max="11020" width="75.50390625" style="434" customWidth="1"/>
    <col min="11021" max="11021" width="45.375" style="434" customWidth="1"/>
    <col min="11022" max="11264" width="9.125" style="434" customWidth="1"/>
    <col min="11265" max="11265" width="4.50390625" style="434" customWidth="1"/>
    <col min="11266" max="11266" width="11.50390625" style="434" customWidth="1"/>
    <col min="11267" max="11267" width="40.50390625" style="434" customWidth="1"/>
    <col min="11268" max="11268" width="5.50390625" style="434" customWidth="1"/>
    <col min="11269" max="11269" width="8.50390625" style="434" customWidth="1"/>
    <col min="11270" max="11270" width="9.875" style="434" customWidth="1"/>
    <col min="11271" max="11271" width="13.875" style="434" customWidth="1"/>
    <col min="11272" max="11273" width="9.125" style="434" hidden="1" customWidth="1"/>
    <col min="11274" max="11274" width="11.00390625" style="434" customWidth="1"/>
    <col min="11275" max="11275" width="10.50390625" style="434" customWidth="1"/>
    <col min="11276" max="11276" width="75.50390625" style="434" customWidth="1"/>
    <col min="11277" max="11277" width="45.375" style="434" customWidth="1"/>
    <col min="11278" max="11520" width="9.125" style="434" customWidth="1"/>
    <col min="11521" max="11521" width="4.50390625" style="434" customWidth="1"/>
    <col min="11522" max="11522" width="11.50390625" style="434" customWidth="1"/>
    <col min="11523" max="11523" width="40.50390625" style="434" customWidth="1"/>
    <col min="11524" max="11524" width="5.50390625" style="434" customWidth="1"/>
    <col min="11525" max="11525" width="8.50390625" style="434" customWidth="1"/>
    <col min="11526" max="11526" width="9.875" style="434" customWidth="1"/>
    <col min="11527" max="11527" width="13.875" style="434" customWidth="1"/>
    <col min="11528" max="11529" width="9.125" style="434" hidden="1" customWidth="1"/>
    <col min="11530" max="11530" width="11.00390625" style="434" customWidth="1"/>
    <col min="11531" max="11531" width="10.50390625" style="434" customWidth="1"/>
    <col min="11532" max="11532" width="75.50390625" style="434" customWidth="1"/>
    <col min="11533" max="11533" width="45.375" style="434" customWidth="1"/>
    <col min="11534" max="11776" width="9.125" style="434" customWidth="1"/>
    <col min="11777" max="11777" width="4.50390625" style="434" customWidth="1"/>
    <col min="11778" max="11778" width="11.50390625" style="434" customWidth="1"/>
    <col min="11779" max="11779" width="40.50390625" style="434" customWidth="1"/>
    <col min="11780" max="11780" width="5.50390625" style="434" customWidth="1"/>
    <col min="11781" max="11781" width="8.50390625" style="434" customWidth="1"/>
    <col min="11782" max="11782" width="9.875" style="434" customWidth="1"/>
    <col min="11783" max="11783" width="13.875" style="434" customWidth="1"/>
    <col min="11784" max="11785" width="9.125" style="434" hidden="1" customWidth="1"/>
    <col min="11786" max="11786" width="11.00390625" style="434" customWidth="1"/>
    <col min="11787" max="11787" width="10.50390625" style="434" customWidth="1"/>
    <col min="11788" max="11788" width="75.50390625" style="434" customWidth="1"/>
    <col min="11789" max="11789" width="45.375" style="434" customWidth="1"/>
    <col min="11790" max="12032" width="9.125" style="434" customWidth="1"/>
    <col min="12033" max="12033" width="4.50390625" style="434" customWidth="1"/>
    <col min="12034" max="12034" width="11.50390625" style="434" customWidth="1"/>
    <col min="12035" max="12035" width="40.50390625" style="434" customWidth="1"/>
    <col min="12036" max="12036" width="5.50390625" style="434" customWidth="1"/>
    <col min="12037" max="12037" width="8.50390625" style="434" customWidth="1"/>
    <col min="12038" max="12038" width="9.875" style="434" customWidth="1"/>
    <col min="12039" max="12039" width="13.875" style="434" customWidth="1"/>
    <col min="12040" max="12041" width="9.125" style="434" hidden="1" customWidth="1"/>
    <col min="12042" max="12042" width="11.00390625" style="434" customWidth="1"/>
    <col min="12043" max="12043" width="10.50390625" style="434" customWidth="1"/>
    <col min="12044" max="12044" width="75.50390625" style="434" customWidth="1"/>
    <col min="12045" max="12045" width="45.375" style="434" customWidth="1"/>
    <col min="12046" max="12288" width="9.125" style="434" customWidth="1"/>
    <col min="12289" max="12289" width="4.50390625" style="434" customWidth="1"/>
    <col min="12290" max="12290" width="11.50390625" style="434" customWidth="1"/>
    <col min="12291" max="12291" width="40.50390625" style="434" customWidth="1"/>
    <col min="12292" max="12292" width="5.50390625" style="434" customWidth="1"/>
    <col min="12293" max="12293" width="8.50390625" style="434" customWidth="1"/>
    <col min="12294" max="12294" width="9.875" style="434" customWidth="1"/>
    <col min="12295" max="12295" width="13.875" style="434" customWidth="1"/>
    <col min="12296" max="12297" width="9.125" style="434" hidden="1" customWidth="1"/>
    <col min="12298" max="12298" width="11.00390625" style="434" customWidth="1"/>
    <col min="12299" max="12299" width="10.50390625" style="434" customWidth="1"/>
    <col min="12300" max="12300" width="75.50390625" style="434" customWidth="1"/>
    <col min="12301" max="12301" width="45.375" style="434" customWidth="1"/>
    <col min="12302" max="12544" width="9.125" style="434" customWidth="1"/>
    <col min="12545" max="12545" width="4.50390625" style="434" customWidth="1"/>
    <col min="12546" max="12546" width="11.50390625" style="434" customWidth="1"/>
    <col min="12547" max="12547" width="40.50390625" style="434" customWidth="1"/>
    <col min="12548" max="12548" width="5.50390625" style="434" customWidth="1"/>
    <col min="12549" max="12549" width="8.50390625" style="434" customWidth="1"/>
    <col min="12550" max="12550" width="9.875" style="434" customWidth="1"/>
    <col min="12551" max="12551" width="13.875" style="434" customWidth="1"/>
    <col min="12552" max="12553" width="9.125" style="434" hidden="1" customWidth="1"/>
    <col min="12554" max="12554" width="11.00390625" style="434" customWidth="1"/>
    <col min="12555" max="12555" width="10.50390625" style="434" customWidth="1"/>
    <col min="12556" max="12556" width="75.50390625" style="434" customWidth="1"/>
    <col min="12557" max="12557" width="45.375" style="434" customWidth="1"/>
    <col min="12558" max="12800" width="9.125" style="434" customWidth="1"/>
    <col min="12801" max="12801" width="4.50390625" style="434" customWidth="1"/>
    <col min="12802" max="12802" width="11.50390625" style="434" customWidth="1"/>
    <col min="12803" max="12803" width="40.50390625" style="434" customWidth="1"/>
    <col min="12804" max="12804" width="5.50390625" style="434" customWidth="1"/>
    <col min="12805" max="12805" width="8.50390625" style="434" customWidth="1"/>
    <col min="12806" max="12806" width="9.875" style="434" customWidth="1"/>
    <col min="12807" max="12807" width="13.875" style="434" customWidth="1"/>
    <col min="12808" max="12809" width="9.125" style="434" hidden="1" customWidth="1"/>
    <col min="12810" max="12810" width="11.00390625" style="434" customWidth="1"/>
    <col min="12811" max="12811" width="10.50390625" style="434" customWidth="1"/>
    <col min="12812" max="12812" width="75.50390625" style="434" customWidth="1"/>
    <col min="12813" max="12813" width="45.375" style="434" customWidth="1"/>
    <col min="12814" max="13056" width="9.125" style="434" customWidth="1"/>
    <col min="13057" max="13057" width="4.50390625" style="434" customWidth="1"/>
    <col min="13058" max="13058" width="11.50390625" style="434" customWidth="1"/>
    <col min="13059" max="13059" width="40.50390625" style="434" customWidth="1"/>
    <col min="13060" max="13060" width="5.50390625" style="434" customWidth="1"/>
    <col min="13061" max="13061" width="8.50390625" style="434" customWidth="1"/>
    <col min="13062" max="13062" width="9.875" style="434" customWidth="1"/>
    <col min="13063" max="13063" width="13.875" style="434" customWidth="1"/>
    <col min="13064" max="13065" width="9.125" style="434" hidden="1" customWidth="1"/>
    <col min="13066" max="13066" width="11.00390625" style="434" customWidth="1"/>
    <col min="13067" max="13067" width="10.50390625" style="434" customWidth="1"/>
    <col min="13068" max="13068" width="75.50390625" style="434" customWidth="1"/>
    <col min="13069" max="13069" width="45.375" style="434" customWidth="1"/>
    <col min="13070" max="13312" width="9.125" style="434" customWidth="1"/>
    <col min="13313" max="13313" width="4.50390625" style="434" customWidth="1"/>
    <col min="13314" max="13314" width="11.50390625" style="434" customWidth="1"/>
    <col min="13315" max="13315" width="40.50390625" style="434" customWidth="1"/>
    <col min="13316" max="13316" width="5.50390625" style="434" customWidth="1"/>
    <col min="13317" max="13317" width="8.50390625" style="434" customWidth="1"/>
    <col min="13318" max="13318" width="9.875" style="434" customWidth="1"/>
    <col min="13319" max="13319" width="13.875" style="434" customWidth="1"/>
    <col min="13320" max="13321" width="9.125" style="434" hidden="1" customWidth="1"/>
    <col min="13322" max="13322" width="11.00390625" style="434" customWidth="1"/>
    <col min="13323" max="13323" width="10.50390625" style="434" customWidth="1"/>
    <col min="13324" max="13324" width="75.50390625" style="434" customWidth="1"/>
    <col min="13325" max="13325" width="45.375" style="434" customWidth="1"/>
    <col min="13326" max="13568" width="9.125" style="434" customWidth="1"/>
    <col min="13569" max="13569" width="4.50390625" style="434" customWidth="1"/>
    <col min="13570" max="13570" width="11.50390625" style="434" customWidth="1"/>
    <col min="13571" max="13571" width="40.50390625" style="434" customWidth="1"/>
    <col min="13572" max="13572" width="5.50390625" style="434" customWidth="1"/>
    <col min="13573" max="13573" width="8.50390625" style="434" customWidth="1"/>
    <col min="13574" max="13574" width="9.875" style="434" customWidth="1"/>
    <col min="13575" max="13575" width="13.875" style="434" customWidth="1"/>
    <col min="13576" max="13577" width="9.125" style="434" hidden="1" customWidth="1"/>
    <col min="13578" max="13578" width="11.00390625" style="434" customWidth="1"/>
    <col min="13579" max="13579" width="10.50390625" style="434" customWidth="1"/>
    <col min="13580" max="13580" width="75.50390625" style="434" customWidth="1"/>
    <col min="13581" max="13581" width="45.375" style="434" customWidth="1"/>
    <col min="13582" max="13824" width="9.125" style="434" customWidth="1"/>
    <col min="13825" max="13825" width="4.50390625" style="434" customWidth="1"/>
    <col min="13826" max="13826" width="11.50390625" style="434" customWidth="1"/>
    <col min="13827" max="13827" width="40.50390625" style="434" customWidth="1"/>
    <col min="13828" max="13828" width="5.50390625" style="434" customWidth="1"/>
    <col min="13829" max="13829" width="8.50390625" style="434" customWidth="1"/>
    <col min="13830" max="13830" width="9.875" style="434" customWidth="1"/>
    <col min="13831" max="13831" width="13.875" style="434" customWidth="1"/>
    <col min="13832" max="13833" width="9.125" style="434" hidden="1" customWidth="1"/>
    <col min="13834" max="13834" width="11.00390625" style="434" customWidth="1"/>
    <col min="13835" max="13835" width="10.50390625" style="434" customWidth="1"/>
    <col min="13836" max="13836" width="75.50390625" style="434" customWidth="1"/>
    <col min="13837" max="13837" width="45.375" style="434" customWidth="1"/>
    <col min="13838" max="14080" width="9.125" style="434" customWidth="1"/>
    <col min="14081" max="14081" width="4.50390625" style="434" customWidth="1"/>
    <col min="14082" max="14082" width="11.50390625" style="434" customWidth="1"/>
    <col min="14083" max="14083" width="40.50390625" style="434" customWidth="1"/>
    <col min="14084" max="14084" width="5.50390625" style="434" customWidth="1"/>
    <col min="14085" max="14085" width="8.50390625" style="434" customWidth="1"/>
    <col min="14086" max="14086" width="9.875" style="434" customWidth="1"/>
    <col min="14087" max="14087" width="13.875" style="434" customWidth="1"/>
    <col min="14088" max="14089" width="9.125" style="434" hidden="1" customWidth="1"/>
    <col min="14090" max="14090" width="11.00390625" style="434" customWidth="1"/>
    <col min="14091" max="14091" width="10.50390625" style="434" customWidth="1"/>
    <col min="14092" max="14092" width="75.50390625" style="434" customWidth="1"/>
    <col min="14093" max="14093" width="45.375" style="434" customWidth="1"/>
    <col min="14094" max="14336" width="9.125" style="434" customWidth="1"/>
    <col min="14337" max="14337" width="4.50390625" style="434" customWidth="1"/>
    <col min="14338" max="14338" width="11.50390625" style="434" customWidth="1"/>
    <col min="14339" max="14339" width="40.50390625" style="434" customWidth="1"/>
    <col min="14340" max="14340" width="5.50390625" style="434" customWidth="1"/>
    <col min="14341" max="14341" width="8.50390625" style="434" customWidth="1"/>
    <col min="14342" max="14342" width="9.875" style="434" customWidth="1"/>
    <col min="14343" max="14343" width="13.875" style="434" customWidth="1"/>
    <col min="14344" max="14345" width="9.125" style="434" hidden="1" customWidth="1"/>
    <col min="14346" max="14346" width="11.00390625" style="434" customWidth="1"/>
    <col min="14347" max="14347" width="10.50390625" style="434" customWidth="1"/>
    <col min="14348" max="14348" width="75.50390625" style="434" customWidth="1"/>
    <col min="14349" max="14349" width="45.375" style="434" customWidth="1"/>
    <col min="14350" max="14592" width="9.125" style="434" customWidth="1"/>
    <col min="14593" max="14593" width="4.50390625" style="434" customWidth="1"/>
    <col min="14594" max="14594" width="11.50390625" style="434" customWidth="1"/>
    <col min="14595" max="14595" width="40.50390625" style="434" customWidth="1"/>
    <col min="14596" max="14596" width="5.50390625" style="434" customWidth="1"/>
    <col min="14597" max="14597" width="8.50390625" style="434" customWidth="1"/>
    <col min="14598" max="14598" width="9.875" style="434" customWidth="1"/>
    <col min="14599" max="14599" width="13.875" style="434" customWidth="1"/>
    <col min="14600" max="14601" width="9.125" style="434" hidden="1" customWidth="1"/>
    <col min="14602" max="14602" width="11.00390625" style="434" customWidth="1"/>
    <col min="14603" max="14603" width="10.50390625" style="434" customWidth="1"/>
    <col min="14604" max="14604" width="75.50390625" style="434" customWidth="1"/>
    <col min="14605" max="14605" width="45.375" style="434" customWidth="1"/>
    <col min="14606" max="14848" width="9.125" style="434" customWidth="1"/>
    <col min="14849" max="14849" width="4.50390625" style="434" customWidth="1"/>
    <col min="14850" max="14850" width="11.50390625" style="434" customWidth="1"/>
    <col min="14851" max="14851" width="40.50390625" style="434" customWidth="1"/>
    <col min="14852" max="14852" width="5.50390625" style="434" customWidth="1"/>
    <col min="14853" max="14853" width="8.50390625" style="434" customWidth="1"/>
    <col min="14854" max="14854" width="9.875" style="434" customWidth="1"/>
    <col min="14855" max="14855" width="13.875" style="434" customWidth="1"/>
    <col min="14856" max="14857" width="9.125" style="434" hidden="1" customWidth="1"/>
    <col min="14858" max="14858" width="11.00390625" style="434" customWidth="1"/>
    <col min="14859" max="14859" width="10.50390625" style="434" customWidth="1"/>
    <col min="14860" max="14860" width="75.50390625" style="434" customWidth="1"/>
    <col min="14861" max="14861" width="45.375" style="434" customWidth="1"/>
    <col min="14862" max="15104" width="9.125" style="434" customWidth="1"/>
    <col min="15105" max="15105" width="4.50390625" style="434" customWidth="1"/>
    <col min="15106" max="15106" width="11.50390625" style="434" customWidth="1"/>
    <col min="15107" max="15107" width="40.50390625" style="434" customWidth="1"/>
    <col min="15108" max="15108" width="5.50390625" style="434" customWidth="1"/>
    <col min="15109" max="15109" width="8.50390625" style="434" customWidth="1"/>
    <col min="15110" max="15110" width="9.875" style="434" customWidth="1"/>
    <col min="15111" max="15111" width="13.875" style="434" customWidth="1"/>
    <col min="15112" max="15113" width="9.125" style="434" hidden="1" customWidth="1"/>
    <col min="15114" max="15114" width="11.00390625" style="434" customWidth="1"/>
    <col min="15115" max="15115" width="10.50390625" style="434" customWidth="1"/>
    <col min="15116" max="15116" width="75.50390625" style="434" customWidth="1"/>
    <col min="15117" max="15117" width="45.375" style="434" customWidth="1"/>
    <col min="15118" max="15360" width="9.125" style="434" customWidth="1"/>
    <col min="15361" max="15361" width="4.50390625" style="434" customWidth="1"/>
    <col min="15362" max="15362" width="11.50390625" style="434" customWidth="1"/>
    <col min="15363" max="15363" width="40.50390625" style="434" customWidth="1"/>
    <col min="15364" max="15364" width="5.50390625" style="434" customWidth="1"/>
    <col min="15365" max="15365" width="8.50390625" style="434" customWidth="1"/>
    <col min="15366" max="15366" width="9.875" style="434" customWidth="1"/>
    <col min="15367" max="15367" width="13.875" style="434" customWidth="1"/>
    <col min="15368" max="15369" width="9.125" style="434" hidden="1" customWidth="1"/>
    <col min="15370" max="15370" width="11.00390625" style="434" customWidth="1"/>
    <col min="15371" max="15371" width="10.50390625" style="434" customWidth="1"/>
    <col min="15372" max="15372" width="75.50390625" style="434" customWidth="1"/>
    <col min="15373" max="15373" width="45.375" style="434" customWidth="1"/>
    <col min="15374" max="15616" width="9.125" style="434" customWidth="1"/>
    <col min="15617" max="15617" width="4.50390625" style="434" customWidth="1"/>
    <col min="15618" max="15618" width="11.50390625" style="434" customWidth="1"/>
    <col min="15619" max="15619" width="40.50390625" style="434" customWidth="1"/>
    <col min="15620" max="15620" width="5.50390625" style="434" customWidth="1"/>
    <col min="15621" max="15621" width="8.50390625" style="434" customWidth="1"/>
    <col min="15622" max="15622" width="9.875" style="434" customWidth="1"/>
    <col min="15623" max="15623" width="13.875" style="434" customWidth="1"/>
    <col min="15624" max="15625" width="9.125" style="434" hidden="1" customWidth="1"/>
    <col min="15626" max="15626" width="11.00390625" style="434" customWidth="1"/>
    <col min="15627" max="15627" width="10.50390625" style="434" customWidth="1"/>
    <col min="15628" max="15628" width="75.50390625" style="434" customWidth="1"/>
    <col min="15629" max="15629" width="45.375" style="434" customWidth="1"/>
    <col min="15630" max="15872" width="9.125" style="434" customWidth="1"/>
    <col min="15873" max="15873" width="4.50390625" style="434" customWidth="1"/>
    <col min="15874" max="15874" width="11.50390625" style="434" customWidth="1"/>
    <col min="15875" max="15875" width="40.50390625" style="434" customWidth="1"/>
    <col min="15876" max="15876" width="5.50390625" style="434" customWidth="1"/>
    <col min="15877" max="15877" width="8.50390625" style="434" customWidth="1"/>
    <col min="15878" max="15878" width="9.875" style="434" customWidth="1"/>
    <col min="15879" max="15879" width="13.875" style="434" customWidth="1"/>
    <col min="15880" max="15881" width="9.125" style="434" hidden="1" customWidth="1"/>
    <col min="15882" max="15882" width="11.00390625" style="434" customWidth="1"/>
    <col min="15883" max="15883" width="10.50390625" style="434" customWidth="1"/>
    <col min="15884" max="15884" width="75.50390625" style="434" customWidth="1"/>
    <col min="15885" max="15885" width="45.375" style="434" customWidth="1"/>
    <col min="15886" max="16128" width="9.125" style="434" customWidth="1"/>
    <col min="16129" max="16129" width="4.50390625" style="434" customWidth="1"/>
    <col min="16130" max="16130" width="11.50390625" style="434" customWidth="1"/>
    <col min="16131" max="16131" width="40.50390625" style="434" customWidth="1"/>
    <col min="16132" max="16132" width="5.50390625" style="434" customWidth="1"/>
    <col min="16133" max="16133" width="8.50390625" style="434" customWidth="1"/>
    <col min="16134" max="16134" width="9.875" style="434" customWidth="1"/>
    <col min="16135" max="16135" width="13.875" style="434" customWidth="1"/>
    <col min="16136" max="16137" width="9.125" style="434" hidden="1" customWidth="1"/>
    <col min="16138" max="16138" width="11.00390625" style="434" customWidth="1"/>
    <col min="16139" max="16139" width="10.50390625" style="434" customWidth="1"/>
    <col min="16140" max="16140" width="75.50390625" style="434" customWidth="1"/>
    <col min="16141" max="16141" width="45.375" style="434" customWidth="1"/>
    <col min="16142" max="16384" width="9.125" style="434" customWidth="1"/>
  </cols>
  <sheetData>
    <row r="1" spans="1:7" ht="15.6">
      <c r="A1" s="1622" t="s">
        <v>127</v>
      </c>
      <c r="B1" s="1622"/>
      <c r="C1" s="1622"/>
      <c r="D1" s="1622"/>
      <c r="E1" s="1622"/>
      <c r="F1" s="1622"/>
      <c r="G1" s="1622"/>
    </row>
    <row r="2" spans="2:7" ht="14.25" customHeight="1" thickBot="1">
      <c r="B2" s="493"/>
      <c r="C2" s="491"/>
      <c r="D2" s="491"/>
      <c r="E2" s="492"/>
      <c r="F2" s="491"/>
      <c r="G2" s="491"/>
    </row>
    <row r="3" spans="1:7" ht="13.8" thickTop="1">
      <c r="A3" s="1612" t="s">
        <v>2</v>
      </c>
      <c r="B3" s="1613"/>
      <c r="C3" s="433" t="s">
        <v>82</v>
      </c>
      <c r="D3" s="490"/>
      <c r="E3" s="489" t="s">
        <v>128</v>
      </c>
      <c r="F3" s="488" t="str">
        <f>'[3]11a  Rek'!H1</f>
        <v/>
      </c>
      <c r="G3" s="487"/>
    </row>
    <row r="4" spans="1:7" ht="13.8" thickBot="1">
      <c r="A4" s="1623" t="s">
        <v>79</v>
      </c>
      <c r="B4" s="1615"/>
      <c r="C4" s="427" t="s">
        <v>2036</v>
      </c>
      <c r="D4" s="486"/>
      <c r="E4" s="1624" t="str">
        <f>'[3]11a  Rek'!G2</f>
        <v>aktualizovaný</v>
      </c>
      <c r="F4" s="1625"/>
      <c r="G4" s="1626"/>
    </row>
    <row r="5" spans="1:7" ht="13.8" thickTop="1">
      <c r="A5" s="485"/>
      <c r="G5" s="484"/>
    </row>
    <row r="6" spans="1:12" ht="27" customHeight="1">
      <c r="A6" s="483" t="s">
        <v>129</v>
      </c>
      <c r="B6" s="481" t="s">
        <v>130</v>
      </c>
      <c r="C6" s="481" t="s">
        <v>131</v>
      </c>
      <c r="D6" s="481" t="s">
        <v>132</v>
      </c>
      <c r="E6" s="482" t="s">
        <v>133</v>
      </c>
      <c r="F6" s="481" t="s">
        <v>134</v>
      </c>
      <c r="G6" s="480" t="s">
        <v>135</v>
      </c>
      <c r="H6" s="479" t="s">
        <v>136</v>
      </c>
      <c r="I6" s="479" t="s">
        <v>137</v>
      </c>
      <c r="J6" s="566"/>
      <c r="K6" s="567"/>
      <c r="L6" s="436"/>
    </row>
    <row r="7" spans="1:15" ht="12.75">
      <c r="A7" s="471" t="s">
        <v>140</v>
      </c>
      <c r="B7" s="470" t="s">
        <v>141</v>
      </c>
      <c r="C7" s="469" t="s">
        <v>142</v>
      </c>
      <c r="D7" s="468"/>
      <c r="E7" s="467"/>
      <c r="F7" s="467"/>
      <c r="G7" s="466"/>
      <c r="H7" s="465"/>
      <c r="I7" s="464"/>
      <c r="J7" s="568"/>
      <c r="K7" s="569"/>
      <c r="L7" s="436"/>
      <c r="O7" s="444">
        <v>1</v>
      </c>
    </row>
    <row r="8" spans="1:80" ht="12.75">
      <c r="A8" s="461">
        <v>1</v>
      </c>
      <c r="B8" s="460" t="s">
        <v>2037</v>
      </c>
      <c r="C8" s="459" t="s">
        <v>2038</v>
      </c>
      <c r="D8" s="458" t="s">
        <v>196</v>
      </c>
      <c r="E8" s="457">
        <v>25</v>
      </c>
      <c r="F8" s="457">
        <v>0</v>
      </c>
      <c r="G8" s="456">
        <f>E8*F8</f>
        <v>0</v>
      </c>
      <c r="H8" s="455">
        <v>0</v>
      </c>
      <c r="I8" s="454">
        <f>E8*H8</f>
        <v>0</v>
      </c>
      <c r="J8" s="1139">
        <v>0</v>
      </c>
      <c r="K8" s="1140">
        <f>E8*J8</f>
        <v>0</v>
      </c>
      <c r="L8" s="436"/>
      <c r="O8" s="444">
        <v>2</v>
      </c>
      <c r="AA8" s="434">
        <v>1</v>
      </c>
      <c r="AB8" s="434">
        <v>1</v>
      </c>
      <c r="AC8" s="434">
        <v>1</v>
      </c>
      <c r="AZ8" s="434">
        <v>1</v>
      </c>
      <c r="BA8" s="434">
        <f>IF(AZ8=1,G8,0)</f>
        <v>0</v>
      </c>
      <c r="BB8" s="434">
        <f>IF(AZ8=2,G8,0)</f>
        <v>0</v>
      </c>
      <c r="BC8" s="434">
        <f>IF(AZ8=3,G8,0)</f>
        <v>0</v>
      </c>
      <c r="BD8" s="434">
        <f>IF(AZ8=4,G8,0)</f>
        <v>0</v>
      </c>
      <c r="BE8" s="434">
        <f>IF(AZ8=5,G8,0)</f>
        <v>0</v>
      </c>
      <c r="CA8" s="444">
        <v>1</v>
      </c>
      <c r="CB8" s="444">
        <v>1</v>
      </c>
    </row>
    <row r="9" spans="1:80" ht="12.75">
      <c r="A9" s="461">
        <v>2</v>
      </c>
      <c r="B9" s="460" t="s">
        <v>2039</v>
      </c>
      <c r="C9" s="459" t="s">
        <v>2040</v>
      </c>
      <c r="D9" s="458" t="s">
        <v>196</v>
      </c>
      <c r="E9" s="457">
        <v>25</v>
      </c>
      <c r="F9" s="457">
        <v>0</v>
      </c>
      <c r="G9" s="456">
        <f>E9*F9</f>
        <v>0</v>
      </c>
      <c r="H9" s="455">
        <v>5E-05</v>
      </c>
      <c r="I9" s="454">
        <f>E9*H9</f>
        <v>0.00125</v>
      </c>
      <c r="J9" s="1139">
        <v>0</v>
      </c>
      <c r="K9" s="1140">
        <f>E9*J9</f>
        <v>0</v>
      </c>
      <c r="L9" s="436"/>
      <c r="O9" s="444">
        <v>2</v>
      </c>
      <c r="AA9" s="434">
        <v>1</v>
      </c>
      <c r="AB9" s="434">
        <v>1</v>
      </c>
      <c r="AC9" s="434">
        <v>1</v>
      </c>
      <c r="AZ9" s="434">
        <v>1</v>
      </c>
      <c r="BA9" s="434">
        <f>IF(AZ9=1,G9,0)</f>
        <v>0</v>
      </c>
      <c r="BB9" s="434">
        <f>IF(AZ9=2,G9,0)</f>
        <v>0</v>
      </c>
      <c r="BC9" s="434">
        <f>IF(AZ9=3,G9,0)</f>
        <v>0</v>
      </c>
      <c r="BD9" s="434">
        <f>IF(AZ9=4,G9,0)</f>
        <v>0</v>
      </c>
      <c r="BE9" s="434">
        <f>IF(AZ9=5,G9,0)</f>
        <v>0</v>
      </c>
      <c r="CA9" s="444">
        <v>1</v>
      </c>
      <c r="CB9" s="444">
        <v>1</v>
      </c>
    </row>
    <row r="10" spans="1:80" ht="12.75">
      <c r="A10" s="461">
        <v>3</v>
      </c>
      <c r="B10" s="460" t="s">
        <v>152</v>
      </c>
      <c r="C10" s="459" t="s">
        <v>153</v>
      </c>
      <c r="D10" s="458" t="s">
        <v>154</v>
      </c>
      <c r="E10" s="457">
        <v>87.2046</v>
      </c>
      <c r="F10" s="457">
        <v>0</v>
      </c>
      <c r="G10" s="456">
        <f>E10*F10</f>
        <v>0</v>
      </c>
      <c r="H10" s="455">
        <v>0</v>
      </c>
      <c r="I10" s="454">
        <f>E10*H10</f>
        <v>0</v>
      </c>
      <c r="J10" s="1139">
        <v>0</v>
      </c>
      <c r="K10" s="1140">
        <f>E10*J10</f>
        <v>0</v>
      </c>
      <c r="L10" s="436"/>
      <c r="O10" s="444">
        <v>2</v>
      </c>
      <c r="AA10" s="434">
        <v>1</v>
      </c>
      <c r="AB10" s="434">
        <v>1</v>
      </c>
      <c r="AC10" s="434">
        <v>1</v>
      </c>
      <c r="AZ10" s="434">
        <v>1</v>
      </c>
      <c r="BA10" s="434">
        <f>IF(AZ10=1,G10,0)</f>
        <v>0</v>
      </c>
      <c r="BB10" s="434">
        <f>IF(AZ10=2,G10,0)</f>
        <v>0</v>
      </c>
      <c r="BC10" s="434">
        <f>IF(AZ10=3,G10,0)</f>
        <v>0</v>
      </c>
      <c r="BD10" s="434">
        <f>IF(AZ10=4,G10,0)</f>
        <v>0</v>
      </c>
      <c r="BE10" s="434">
        <f>IF(AZ10=5,G10,0)</f>
        <v>0</v>
      </c>
      <c r="CA10" s="444">
        <v>1</v>
      </c>
      <c r="CB10" s="444">
        <v>1</v>
      </c>
    </row>
    <row r="11" spans="1:15" ht="12.75">
      <c r="A11" s="478"/>
      <c r="B11" s="477"/>
      <c r="C11" s="1621" t="s">
        <v>2041</v>
      </c>
      <c r="D11" s="1589"/>
      <c r="E11" s="476">
        <v>36.6311</v>
      </c>
      <c r="F11" s="475"/>
      <c r="G11" s="230"/>
      <c r="H11" s="474"/>
      <c r="I11" s="473"/>
      <c r="J11" s="436"/>
      <c r="K11" s="580"/>
      <c r="L11" s="436"/>
      <c r="M11" s="472" t="s">
        <v>2041</v>
      </c>
      <c r="O11" s="444"/>
    </row>
    <row r="12" spans="1:15" ht="12.75">
      <c r="A12" s="478"/>
      <c r="B12" s="477"/>
      <c r="C12" s="1621" t="s">
        <v>2042</v>
      </c>
      <c r="D12" s="1589"/>
      <c r="E12" s="476">
        <v>44.1235</v>
      </c>
      <c r="F12" s="475"/>
      <c r="G12" s="230"/>
      <c r="H12" s="474"/>
      <c r="I12" s="473"/>
      <c r="J12" s="436"/>
      <c r="K12" s="580"/>
      <c r="L12" s="436"/>
      <c r="M12" s="472" t="s">
        <v>2042</v>
      </c>
      <c r="O12" s="444"/>
    </row>
    <row r="13" spans="1:15" ht="12.75">
      <c r="A13" s="478"/>
      <c r="B13" s="477"/>
      <c r="C13" s="1621" t="s">
        <v>2043</v>
      </c>
      <c r="D13" s="1589"/>
      <c r="E13" s="476">
        <v>6.45</v>
      </c>
      <c r="F13" s="475"/>
      <c r="G13" s="230"/>
      <c r="H13" s="474"/>
      <c r="I13" s="473"/>
      <c r="J13" s="436"/>
      <c r="K13" s="580"/>
      <c r="L13" s="436"/>
      <c r="M13" s="472" t="s">
        <v>2043</v>
      </c>
      <c r="O13" s="444"/>
    </row>
    <row r="14" spans="1:80" ht="12.75">
      <c r="A14" s="461">
        <v>4</v>
      </c>
      <c r="B14" s="460" t="s">
        <v>492</v>
      </c>
      <c r="C14" s="459" t="s">
        <v>493</v>
      </c>
      <c r="D14" s="458" t="s">
        <v>154</v>
      </c>
      <c r="E14" s="457">
        <v>1.12</v>
      </c>
      <c r="F14" s="457">
        <v>0</v>
      </c>
      <c r="G14" s="456">
        <f>E14*F14</f>
        <v>0</v>
      </c>
      <c r="H14" s="455">
        <v>0</v>
      </c>
      <c r="I14" s="454">
        <f>E14*H14</f>
        <v>0</v>
      </c>
      <c r="J14" s="1139">
        <v>0</v>
      </c>
      <c r="K14" s="1140">
        <f>E14*J14</f>
        <v>0</v>
      </c>
      <c r="L14" s="436"/>
      <c r="O14" s="444">
        <v>2</v>
      </c>
      <c r="AA14" s="434">
        <v>1</v>
      </c>
      <c r="AB14" s="434">
        <v>1</v>
      </c>
      <c r="AC14" s="434">
        <v>1</v>
      </c>
      <c r="AZ14" s="434">
        <v>1</v>
      </c>
      <c r="BA14" s="434">
        <f>IF(AZ14=1,G14,0)</f>
        <v>0</v>
      </c>
      <c r="BB14" s="434">
        <f>IF(AZ14=2,G14,0)</f>
        <v>0</v>
      </c>
      <c r="BC14" s="434">
        <f>IF(AZ14=3,G14,0)</f>
        <v>0</v>
      </c>
      <c r="BD14" s="434">
        <f>IF(AZ14=4,G14,0)</f>
        <v>0</v>
      </c>
      <c r="BE14" s="434">
        <f>IF(AZ14=5,G14,0)</f>
        <v>0</v>
      </c>
      <c r="CA14" s="444">
        <v>1</v>
      </c>
      <c r="CB14" s="444">
        <v>1</v>
      </c>
    </row>
    <row r="15" spans="1:15" ht="12.75">
      <c r="A15" s="478"/>
      <c r="B15" s="477"/>
      <c r="C15" s="1621" t="s">
        <v>2044</v>
      </c>
      <c r="D15" s="1589"/>
      <c r="E15" s="476">
        <v>1.12</v>
      </c>
      <c r="F15" s="475"/>
      <c r="G15" s="230"/>
      <c r="H15" s="474"/>
      <c r="I15" s="473"/>
      <c r="J15" s="436"/>
      <c r="K15" s="580"/>
      <c r="L15" s="436"/>
      <c r="M15" s="472" t="s">
        <v>2044</v>
      </c>
      <c r="O15" s="444"/>
    </row>
    <row r="16" spans="1:80" ht="12.75">
      <c r="A16" s="461">
        <v>5</v>
      </c>
      <c r="B16" s="460" t="s">
        <v>495</v>
      </c>
      <c r="C16" s="459" t="s">
        <v>496</v>
      </c>
      <c r="D16" s="458" t="s">
        <v>154</v>
      </c>
      <c r="E16" s="457">
        <v>1.12</v>
      </c>
      <c r="F16" s="457">
        <v>0</v>
      </c>
      <c r="G16" s="456">
        <f>E16*F16</f>
        <v>0</v>
      </c>
      <c r="H16" s="455">
        <v>0</v>
      </c>
      <c r="I16" s="454">
        <f>E16*H16</f>
        <v>0</v>
      </c>
      <c r="J16" s="1139">
        <v>0</v>
      </c>
      <c r="K16" s="1140">
        <f>E16*J16</f>
        <v>0</v>
      </c>
      <c r="L16" s="436"/>
      <c r="O16" s="444">
        <v>2</v>
      </c>
      <c r="AA16" s="434">
        <v>1</v>
      </c>
      <c r="AB16" s="434">
        <v>1</v>
      </c>
      <c r="AC16" s="434">
        <v>1</v>
      </c>
      <c r="AZ16" s="434">
        <v>1</v>
      </c>
      <c r="BA16" s="434">
        <f>IF(AZ16=1,G16,0)</f>
        <v>0</v>
      </c>
      <c r="BB16" s="434">
        <f>IF(AZ16=2,G16,0)</f>
        <v>0</v>
      </c>
      <c r="BC16" s="434">
        <f>IF(AZ16=3,G16,0)</f>
        <v>0</v>
      </c>
      <c r="BD16" s="434">
        <f>IF(AZ16=4,G16,0)</f>
        <v>0</v>
      </c>
      <c r="BE16" s="434">
        <f>IF(AZ16=5,G16,0)</f>
        <v>0</v>
      </c>
      <c r="CA16" s="444">
        <v>1</v>
      </c>
      <c r="CB16" s="444">
        <v>1</v>
      </c>
    </row>
    <row r="17" spans="1:80" ht="12.75">
      <c r="A17" s="461">
        <v>6</v>
      </c>
      <c r="B17" s="460" t="s">
        <v>2045</v>
      </c>
      <c r="C17" s="459" t="s">
        <v>2046</v>
      </c>
      <c r="D17" s="458" t="s">
        <v>154</v>
      </c>
      <c r="E17" s="457">
        <v>174.4092</v>
      </c>
      <c r="F17" s="457">
        <v>0</v>
      </c>
      <c r="G17" s="456">
        <f>E17*F17</f>
        <v>0</v>
      </c>
      <c r="H17" s="455">
        <v>0</v>
      </c>
      <c r="I17" s="454">
        <f>E17*H17</f>
        <v>0</v>
      </c>
      <c r="J17" s="1139">
        <v>0</v>
      </c>
      <c r="K17" s="1140">
        <f>E17*J17</f>
        <v>0</v>
      </c>
      <c r="L17" s="436"/>
      <c r="O17" s="444">
        <v>2</v>
      </c>
      <c r="AA17" s="434">
        <v>1</v>
      </c>
      <c r="AB17" s="434">
        <v>1</v>
      </c>
      <c r="AC17" s="434">
        <v>1</v>
      </c>
      <c r="AZ17" s="434">
        <v>1</v>
      </c>
      <c r="BA17" s="434">
        <f>IF(AZ17=1,G17,0)</f>
        <v>0</v>
      </c>
      <c r="BB17" s="434">
        <f>IF(AZ17=2,G17,0)</f>
        <v>0</v>
      </c>
      <c r="BC17" s="434">
        <f>IF(AZ17=3,G17,0)</f>
        <v>0</v>
      </c>
      <c r="BD17" s="434">
        <f>IF(AZ17=4,G17,0)</f>
        <v>0</v>
      </c>
      <c r="BE17" s="434">
        <f>IF(AZ17=5,G17,0)</f>
        <v>0</v>
      </c>
      <c r="CA17" s="444">
        <v>1</v>
      </c>
      <c r="CB17" s="444">
        <v>1</v>
      </c>
    </row>
    <row r="18" spans="1:15" ht="12.75">
      <c r="A18" s="478"/>
      <c r="B18" s="477"/>
      <c r="C18" s="1621" t="s">
        <v>2047</v>
      </c>
      <c r="D18" s="1589"/>
      <c r="E18" s="476">
        <v>174.4092</v>
      </c>
      <c r="F18" s="475"/>
      <c r="G18" s="230"/>
      <c r="H18" s="474"/>
      <c r="I18" s="473"/>
      <c r="J18" s="436"/>
      <c r="K18" s="580"/>
      <c r="L18" s="436"/>
      <c r="M18" s="472" t="s">
        <v>2047</v>
      </c>
      <c r="O18" s="444"/>
    </row>
    <row r="19" spans="1:80" ht="12.75">
      <c r="A19" s="461">
        <v>7</v>
      </c>
      <c r="B19" s="460" t="s">
        <v>2048</v>
      </c>
      <c r="C19" s="459" t="s">
        <v>2049</v>
      </c>
      <c r="D19" s="458" t="s">
        <v>196</v>
      </c>
      <c r="E19" s="457">
        <v>100</v>
      </c>
      <c r="F19" s="457">
        <v>0</v>
      </c>
      <c r="G19" s="456">
        <f>E19*F19</f>
        <v>0</v>
      </c>
      <c r="H19" s="455">
        <v>0</v>
      </c>
      <c r="I19" s="454">
        <f>E19*H19</f>
        <v>0</v>
      </c>
      <c r="J19" s="1139">
        <v>0</v>
      </c>
      <c r="K19" s="1140">
        <f>E19*J19</f>
        <v>0</v>
      </c>
      <c r="L19" s="436"/>
      <c r="O19" s="444">
        <v>2</v>
      </c>
      <c r="AA19" s="434">
        <v>1</v>
      </c>
      <c r="AB19" s="434">
        <v>1</v>
      </c>
      <c r="AC19" s="434">
        <v>1</v>
      </c>
      <c r="AZ19" s="434">
        <v>1</v>
      </c>
      <c r="BA19" s="434">
        <f>IF(AZ19=1,G19,0)</f>
        <v>0</v>
      </c>
      <c r="BB19" s="434">
        <f>IF(AZ19=2,G19,0)</f>
        <v>0</v>
      </c>
      <c r="BC19" s="434">
        <f>IF(AZ19=3,G19,0)</f>
        <v>0</v>
      </c>
      <c r="BD19" s="434">
        <f>IF(AZ19=4,G19,0)</f>
        <v>0</v>
      </c>
      <c r="BE19" s="434">
        <f>IF(AZ19=5,G19,0)</f>
        <v>0</v>
      </c>
      <c r="CA19" s="444">
        <v>1</v>
      </c>
      <c r="CB19" s="444">
        <v>1</v>
      </c>
    </row>
    <row r="20" spans="1:15" ht="12.75">
      <c r="A20" s="478"/>
      <c r="B20" s="477"/>
      <c r="C20" s="1621" t="s">
        <v>2050</v>
      </c>
      <c r="D20" s="1589"/>
      <c r="E20" s="476">
        <v>100</v>
      </c>
      <c r="F20" s="475"/>
      <c r="G20" s="230"/>
      <c r="H20" s="474"/>
      <c r="I20" s="473"/>
      <c r="J20" s="436"/>
      <c r="K20" s="580"/>
      <c r="L20" s="436"/>
      <c r="M20" s="472" t="s">
        <v>2050</v>
      </c>
      <c r="O20" s="444"/>
    </row>
    <row r="21" spans="1:80" ht="12.75">
      <c r="A21" s="461">
        <v>8</v>
      </c>
      <c r="B21" s="460" t="s">
        <v>2048</v>
      </c>
      <c r="C21" s="459" t="s">
        <v>2049</v>
      </c>
      <c r="D21" s="458" t="s">
        <v>196</v>
      </c>
      <c r="E21" s="457">
        <v>25</v>
      </c>
      <c r="F21" s="457">
        <v>0</v>
      </c>
      <c r="G21" s="456">
        <f>E21*F21</f>
        <v>0</v>
      </c>
      <c r="H21" s="455">
        <v>0</v>
      </c>
      <c r="I21" s="454">
        <f>E21*H21</f>
        <v>0</v>
      </c>
      <c r="J21" s="1139">
        <v>0</v>
      </c>
      <c r="K21" s="1140">
        <f>E21*J21</f>
        <v>0</v>
      </c>
      <c r="L21" s="436"/>
      <c r="O21" s="444">
        <v>2</v>
      </c>
      <c r="AA21" s="434">
        <v>1</v>
      </c>
      <c r="AB21" s="434">
        <v>1</v>
      </c>
      <c r="AC21" s="434">
        <v>1</v>
      </c>
      <c r="AZ21" s="434">
        <v>1</v>
      </c>
      <c r="BA21" s="434">
        <f>IF(AZ21=1,G21,0)</f>
        <v>0</v>
      </c>
      <c r="BB21" s="434">
        <f>IF(AZ21=2,G21,0)</f>
        <v>0</v>
      </c>
      <c r="BC21" s="434">
        <f>IF(AZ21=3,G21,0)</f>
        <v>0</v>
      </c>
      <c r="BD21" s="434">
        <f>IF(AZ21=4,G21,0)</f>
        <v>0</v>
      </c>
      <c r="BE21" s="434">
        <f>IF(AZ21=5,G21,0)</f>
        <v>0</v>
      </c>
      <c r="CA21" s="444">
        <v>1</v>
      </c>
      <c r="CB21" s="444">
        <v>1</v>
      </c>
    </row>
    <row r="22" spans="1:15" ht="12.75">
      <c r="A22" s="478"/>
      <c r="B22" s="477"/>
      <c r="C22" s="1621" t="s">
        <v>1868</v>
      </c>
      <c r="D22" s="1589"/>
      <c r="E22" s="476">
        <v>25</v>
      </c>
      <c r="F22" s="475"/>
      <c r="G22" s="230"/>
      <c r="H22" s="474"/>
      <c r="I22" s="473"/>
      <c r="J22" s="436"/>
      <c r="K22" s="580"/>
      <c r="L22" s="436"/>
      <c r="M22" s="472">
        <v>25</v>
      </c>
      <c r="O22" s="444"/>
    </row>
    <row r="23" spans="1:80" ht="12.75">
      <c r="A23" s="461">
        <v>9</v>
      </c>
      <c r="B23" s="460" t="s">
        <v>2051</v>
      </c>
      <c r="C23" s="459" t="s">
        <v>2052</v>
      </c>
      <c r="D23" s="458" t="s">
        <v>196</v>
      </c>
      <c r="E23" s="457">
        <v>25</v>
      </c>
      <c r="F23" s="457">
        <v>0</v>
      </c>
      <c r="G23" s="456">
        <f>E23*F23</f>
        <v>0</v>
      </c>
      <c r="H23" s="455">
        <v>0</v>
      </c>
      <c r="I23" s="454">
        <f>E23*H23</f>
        <v>0</v>
      </c>
      <c r="J23" s="1139">
        <v>0</v>
      </c>
      <c r="K23" s="1140">
        <f>E23*J23</f>
        <v>0</v>
      </c>
      <c r="L23" s="436"/>
      <c r="O23" s="444">
        <v>2</v>
      </c>
      <c r="AA23" s="434">
        <v>1</v>
      </c>
      <c r="AB23" s="434">
        <v>1</v>
      </c>
      <c r="AC23" s="434">
        <v>1</v>
      </c>
      <c r="AZ23" s="434">
        <v>1</v>
      </c>
      <c r="BA23" s="434">
        <f>IF(AZ23=1,G23,0)</f>
        <v>0</v>
      </c>
      <c r="BB23" s="434">
        <f>IF(AZ23=2,G23,0)</f>
        <v>0</v>
      </c>
      <c r="BC23" s="434">
        <f>IF(AZ23=3,G23,0)</f>
        <v>0</v>
      </c>
      <c r="BD23" s="434">
        <f>IF(AZ23=4,G23,0)</f>
        <v>0</v>
      </c>
      <c r="BE23" s="434">
        <f>IF(AZ23=5,G23,0)</f>
        <v>0</v>
      </c>
      <c r="CA23" s="444">
        <v>1</v>
      </c>
      <c r="CB23" s="444">
        <v>1</v>
      </c>
    </row>
    <row r="24" spans="1:80" ht="20.4">
      <c r="A24" s="461">
        <v>10</v>
      </c>
      <c r="B24" s="460" t="s">
        <v>1607</v>
      </c>
      <c r="C24" s="459" t="s">
        <v>1608</v>
      </c>
      <c r="D24" s="458" t="s">
        <v>154</v>
      </c>
      <c r="E24" s="457">
        <v>16.1509</v>
      </c>
      <c r="F24" s="457">
        <v>0</v>
      </c>
      <c r="G24" s="456">
        <f>E24*F24</f>
        <v>0</v>
      </c>
      <c r="H24" s="455">
        <v>0</v>
      </c>
      <c r="I24" s="454">
        <f>E24*H24</f>
        <v>0</v>
      </c>
      <c r="J24" s="1139">
        <v>0</v>
      </c>
      <c r="K24" s="1140">
        <f>E24*J24</f>
        <v>0</v>
      </c>
      <c r="L24" s="436"/>
      <c r="O24" s="444">
        <v>2</v>
      </c>
      <c r="AA24" s="434">
        <v>1</v>
      </c>
      <c r="AB24" s="434">
        <v>1</v>
      </c>
      <c r="AC24" s="434">
        <v>1</v>
      </c>
      <c r="AZ24" s="434">
        <v>1</v>
      </c>
      <c r="BA24" s="434">
        <f>IF(AZ24=1,G24,0)</f>
        <v>0</v>
      </c>
      <c r="BB24" s="434">
        <f>IF(AZ24=2,G24,0)</f>
        <v>0</v>
      </c>
      <c r="BC24" s="434">
        <f>IF(AZ24=3,G24,0)</f>
        <v>0</v>
      </c>
      <c r="BD24" s="434">
        <f>IF(AZ24=4,G24,0)</f>
        <v>0</v>
      </c>
      <c r="BE24" s="434">
        <f>IF(AZ24=5,G24,0)</f>
        <v>0</v>
      </c>
      <c r="CA24" s="444">
        <v>1</v>
      </c>
      <c r="CB24" s="444">
        <v>1</v>
      </c>
    </row>
    <row r="25" spans="1:15" ht="12.75">
      <c r="A25" s="478"/>
      <c r="B25" s="477"/>
      <c r="C25" s="1621" t="s">
        <v>979</v>
      </c>
      <c r="D25" s="1589"/>
      <c r="E25" s="476">
        <v>0</v>
      </c>
      <c r="F25" s="475"/>
      <c r="G25" s="230"/>
      <c r="H25" s="474"/>
      <c r="I25" s="473"/>
      <c r="J25" s="436"/>
      <c r="K25" s="580"/>
      <c r="L25" s="436"/>
      <c r="M25" s="472">
        <v>0</v>
      </c>
      <c r="O25" s="444"/>
    </row>
    <row r="26" spans="1:15" ht="12.75">
      <c r="A26" s="478"/>
      <c r="B26" s="477"/>
      <c r="C26" s="1621" t="s">
        <v>2053</v>
      </c>
      <c r="D26" s="1589"/>
      <c r="E26" s="476">
        <v>7.3262</v>
      </c>
      <c r="F26" s="475"/>
      <c r="G26" s="230"/>
      <c r="H26" s="474"/>
      <c r="I26" s="473"/>
      <c r="J26" s="436"/>
      <c r="K26" s="580"/>
      <c r="L26" s="436"/>
      <c r="M26" s="472" t="s">
        <v>2053</v>
      </c>
      <c r="O26" s="444"/>
    </row>
    <row r="27" spans="1:15" ht="12.75">
      <c r="A27" s="478"/>
      <c r="B27" s="477"/>
      <c r="C27" s="1621" t="s">
        <v>2054</v>
      </c>
      <c r="D27" s="1589"/>
      <c r="E27" s="476">
        <v>8.8247</v>
      </c>
      <c r="F27" s="475"/>
      <c r="G27" s="230"/>
      <c r="H27" s="474"/>
      <c r="I27" s="473"/>
      <c r="J27" s="436"/>
      <c r="K27" s="580"/>
      <c r="L27" s="436"/>
      <c r="M27" s="472" t="s">
        <v>2054</v>
      </c>
      <c r="O27" s="444"/>
    </row>
    <row r="28" spans="1:80" ht="12.75">
      <c r="A28" s="461">
        <v>11</v>
      </c>
      <c r="B28" s="460" t="s">
        <v>502</v>
      </c>
      <c r="C28" s="459" t="s">
        <v>503</v>
      </c>
      <c r="D28" s="458" t="s">
        <v>154</v>
      </c>
      <c r="E28" s="457">
        <v>103.3546</v>
      </c>
      <c r="F28" s="457">
        <v>0</v>
      </c>
      <c r="G28" s="456">
        <f>E28*F28</f>
        <v>0</v>
      </c>
      <c r="H28" s="455">
        <v>0</v>
      </c>
      <c r="I28" s="454">
        <f>E28*H28</f>
        <v>0</v>
      </c>
      <c r="J28" s="1139">
        <v>0</v>
      </c>
      <c r="K28" s="1140">
        <f>E28*J28</f>
        <v>0</v>
      </c>
      <c r="L28" s="436"/>
      <c r="O28" s="444">
        <v>2</v>
      </c>
      <c r="AA28" s="434">
        <v>1</v>
      </c>
      <c r="AB28" s="434">
        <v>1</v>
      </c>
      <c r="AC28" s="434">
        <v>1</v>
      </c>
      <c r="AZ28" s="434">
        <v>1</v>
      </c>
      <c r="BA28" s="434">
        <f>IF(AZ28=1,G28,0)</f>
        <v>0</v>
      </c>
      <c r="BB28" s="434">
        <f>IF(AZ28=2,G28,0)</f>
        <v>0</v>
      </c>
      <c r="BC28" s="434">
        <f>IF(AZ28=3,G28,0)</f>
        <v>0</v>
      </c>
      <c r="BD28" s="434">
        <f>IF(AZ28=4,G28,0)</f>
        <v>0</v>
      </c>
      <c r="BE28" s="434">
        <f>IF(AZ28=5,G28,0)</f>
        <v>0</v>
      </c>
      <c r="CA28" s="444">
        <v>1</v>
      </c>
      <c r="CB28" s="444">
        <v>1</v>
      </c>
    </row>
    <row r="29" spans="1:15" ht="12.75">
      <c r="A29" s="478"/>
      <c r="B29" s="477"/>
      <c r="C29" s="1621" t="s">
        <v>2055</v>
      </c>
      <c r="D29" s="1589"/>
      <c r="E29" s="476">
        <v>103.3546</v>
      </c>
      <c r="F29" s="475"/>
      <c r="G29" s="230"/>
      <c r="H29" s="474"/>
      <c r="I29" s="473"/>
      <c r="J29" s="436"/>
      <c r="K29" s="580"/>
      <c r="L29" s="436"/>
      <c r="M29" s="472" t="s">
        <v>2055</v>
      </c>
      <c r="O29" s="444"/>
    </row>
    <row r="30" spans="1:80" ht="12.75">
      <c r="A30" s="461">
        <v>12</v>
      </c>
      <c r="B30" s="460" t="s">
        <v>2056</v>
      </c>
      <c r="C30" s="459" t="s">
        <v>2057</v>
      </c>
      <c r="D30" s="458" t="s">
        <v>145</v>
      </c>
      <c r="E30" s="457">
        <v>250</v>
      </c>
      <c r="F30" s="457">
        <v>0</v>
      </c>
      <c r="G30" s="456">
        <f aca="true" t="shared" si="0" ref="G30:G37">E30*F30</f>
        <v>0</v>
      </c>
      <c r="H30" s="455">
        <v>0</v>
      </c>
      <c r="I30" s="454">
        <f aca="true" t="shared" si="1" ref="I30:I37">E30*H30</f>
        <v>0</v>
      </c>
      <c r="J30" s="1139">
        <v>0</v>
      </c>
      <c r="K30" s="1140">
        <f aca="true" t="shared" si="2" ref="K30:K37">E30*J30</f>
        <v>0</v>
      </c>
      <c r="L30" s="436"/>
      <c r="O30" s="444">
        <v>2</v>
      </c>
      <c r="AA30" s="434">
        <v>1</v>
      </c>
      <c r="AB30" s="434">
        <v>1</v>
      </c>
      <c r="AC30" s="434">
        <v>1</v>
      </c>
      <c r="AZ30" s="434">
        <v>1</v>
      </c>
      <c r="BA30" s="434">
        <f aca="true" t="shared" si="3" ref="BA30:BA37">IF(AZ30=1,G30,0)</f>
        <v>0</v>
      </c>
      <c r="BB30" s="434">
        <f aca="true" t="shared" si="4" ref="BB30:BB37">IF(AZ30=2,G30,0)</f>
        <v>0</v>
      </c>
      <c r="BC30" s="434">
        <f aca="true" t="shared" si="5" ref="BC30:BC37">IF(AZ30=3,G30,0)</f>
        <v>0</v>
      </c>
      <c r="BD30" s="434">
        <f aca="true" t="shared" si="6" ref="BD30:BD37">IF(AZ30=4,G30,0)</f>
        <v>0</v>
      </c>
      <c r="BE30" s="434">
        <f aca="true" t="shared" si="7" ref="BE30:BE37">IF(AZ30=5,G30,0)</f>
        <v>0</v>
      </c>
      <c r="CA30" s="444">
        <v>1</v>
      </c>
      <c r="CB30" s="444">
        <v>1</v>
      </c>
    </row>
    <row r="31" spans="1:80" ht="12.75">
      <c r="A31" s="461">
        <v>13</v>
      </c>
      <c r="B31" s="460" t="s">
        <v>2058</v>
      </c>
      <c r="C31" s="459" t="s">
        <v>2059</v>
      </c>
      <c r="D31" s="458" t="s">
        <v>196</v>
      </c>
      <c r="E31" s="457">
        <v>30</v>
      </c>
      <c r="F31" s="457">
        <v>0</v>
      </c>
      <c r="G31" s="456">
        <f t="shared" si="0"/>
        <v>0</v>
      </c>
      <c r="H31" s="455">
        <v>0</v>
      </c>
      <c r="I31" s="454">
        <f t="shared" si="1"/>
        <v>0</v>
      </c>
      <c r="J31" s="1139">
        <v>0</v>
      </c>
      <c r="K31" s="1140">
        <f t="shared" si="2"/>
        <v>0</v>
      </c>
      <c r="L31" s="436"/>
      <c r="O31" s="444">
        <v>2</v>
      </c>
      <c r="AA31" s="434">
        <v>1</v>
      </c>
      <c r="AB31" s="434">
        <v>1</v>
      </c>
      <c r="AC31" s="434">
        <v>1</v>
      </c>
      <c r="AZ31" s="434">
        <v>1</v>
      </c>
      <c r="BA31" s="434">
        <f t="shared" si="3"/>
        <v>0</v>
      </c>
      <c r="BB31" s="434">
        <f t="shared" si="4"/>
        <v>0</v>
      </c>
      <c r="BC31" s="434">
        <f t="shared" si="5"/>
        <v>0</v>
      </c>
      <c r="BD31" s="434">
        <f t="shared" si="6"/>
        <v>0</v>
      </c>
      <c r="BE31" s="434">
        <f t="shared" si="7"/>
        <v>0</v>
      </c>
      <c r="CA31" s="444">
        <v>1</v>
      </c>
      <c r="CB31" s="444">
        <v>1</v>
      </c>
    </row>
    <row r="32" spans="1:80" ht="12.75">
      <c r="A32" s="461">
        <v>14</v>
      </c>
      <c r="B32" s="460" t="s">
        <v>2060</v>
      </c>
      <c r="C32" s="459" t="s">
        <v>2061</v>
      </c>
      <c r="D32" s="458" t="s">
        <v>196</v>
      </c>
      <c r="E32" s="457">
        <v>30</v>
      </c>
      <c r="F32" s="457">
        <v>0</v>
      </c>
      <c r="G32" s="456">
        <f t="shared" si="0"/>
        <v>0</v>
      </c>
      <c r="H32" s="455">
        <v>0</v>
      </c>
      <c r="I32" s="454">
        <f t="shared" si="1"/>
        <v>0</v>
      </c>
      <c r="J32" s="1139">
        <v>0</v>
      </c>
      <c r="K32" s="1140">
        <f t="shared" si="2"/>
        <v>0</v>
      </c>
      <c r="L32" s="436"/>
      <c r="O32" s="444">
        <v>2</v>
      </c>
      <c r="AA32" s="434">
        <v>1</v>
      </c>
      <c r="AB32" s="434">
        <v>1</v>
      </c>
      <c r="AC32" s="434">
        <v>1</v>
      </c>
      <c r="AZ32" s="434">
        <v>1</v>
      </c>
      <c r="BA32" s="434">
        <f t="shared" si="3"/>
        <v>0</v>
      </c>
      <c r="BB32" s="434">
        <f t="shared" si="4"/>
        <v>0</v>
      </c>
      <c r="BC32" s="434">
        <f t="shared" si="5"/>
        <v>0</v>
      </c>
      <c r="BD32" s="434">
        <f t="shared" si="6"/>
        <v>0</v>
      </c>
      <c r="BE32" s="434">
        <f t="shared" si="7"/>
        <v>0</v>
      </c>
      <c r="CA32" s="444">
        <v>1</v>
      </c>
      <c r="CB32" s="444">
        <v>1</v>
      </c>
    </row>
    <row r="33" spans="1:80" ht="12.75">
      <c r="A33" s="461">
        <v>15</v>
      </c>
      <c r="B33" s="460" t="s">
        <v>2062</v>
      </c>
      <c r="C33" s="459" t="s">
        <v>2063</v>
      </c>
      <c r="D33" s="458" t="s">
        <v>196</v>
      </c>
      <c r="E33" s="457">
        <v>30</v>
      </c>
      <c r="F33" s="457">
        <v>0</v>
      </c>
      <c r="G33" s="456">
        <f t="shared" si="0"/>
        <v>0</v>
      </c>
      <c r="H33" s="455">
        <v>0</v>
      </c>
      <c r="I33" s="454">
        <f t="shared" si="1"/>
        <v>0</v>
      </c>
      <c r="J33" s="1139">
        <v>0</v>
      </c>
      <c r="K33" s="1140">
        <f t="shared" si="2"/>
        <v>0</v>
      </c>
      <c r="L33" s="436"/>
      <c r="O33" s="444">
        <v>2</v>
      </c>
      <c r="AA33" s="434">
        <v>1</v>
      </c>
      <c r="AB33" s="434">
        <v>1</v>
      </c>
      <c r="AC33" s="434">
        <v>1</v>
      </c>
      <c r="AZ33" s="434">
        <v>1</v>
      </c>
      <c r="BA33" s="434">
        <f t="shared" si="3"/>
        <v>0</v>
      </c>
      <c r="BB33" s="434">
        <f t="shared" si="4"/>
        <v>0</v>
      </c>
      <c r="BC33" s="434">
        <f t="shared" si="5"/>
        <v>0</v>
      </c>
      <c r="BD33" s="434">
        <f t="shared" si="6"/>
        <v>0</v>
      </c>
      <c r="BE33" s="434">
        <f t="shared" si="7"/>
        <v>0</v>
      </c>
      <c r="CA33" s="444">
        <v>1</v>
      </c>
      <c r="CB33" s="444">
        <v>1</v>
      </c>
    </row>
    <row r="34" spans="1:80" ht="12.75">
      <c r="A34" s="461">
        <v>16</v>
      </c>
      <c r="B34" s="460" t="s">
        <v>2064</v>
      </c>
      <c r="C34" s="459" t="s">
        <v>2065</v>
      </c>
      <c r="D34" s="458" t="s">
        <v>154</v>
      </c>
      <c r="E34" s="457">
        <v>20</v>
      </c>
      <c r="F34" s="457">
        <v>0</v>
      </c>
      <c r="G34" s="456">
        <f t="shared" si="0"/>
        <v>0</v>
      </c>
      <c r="H34" s="455">
        <v>0</v>
      </c>
      <c r="I34" s="454">
        <f t="shared" si="1"/>
        <v>0</v>
      </c>
      <c r="J34" s="1139">
        <v>0</v>
      </c>
      <c r="K34" s="1140">
        <f t="shared" si="2"/>
        <v>0</v>
      </c>
      <c r="L34" s="436"/>
      <c r="O34" s="444">
        <v>2</v>
      </c>
      <c r="AA34" s="434">
        <v>1</v>
      </c>
      <c r="AB34" s="434">
        <v>1</v>
      </c>
      <c r="AC34" s="434">
        <v>1</v>
      </c>
      <c r="AZ34" s="434">
        <v>1</v>
      </c>
      <c r="BA34" s="434">
        <f t="shared" si="3"/>
        <v>0</v>
      </c>
      <c r="BB34" s="434">
        <f t="shared" si="4"/>
        <v>0</v>
      </c>
      <c r="BC34" s="434">
        <f t="shared" si="5"/>
        <v>0</v>
      </c>
      <c r="BD34" s="434">
        <f t="shared" si="6"/>
        <v>0</v>
      </c>
      <c r="BE34" s="434">
        <f t="shared" si="7"/>
        <v>0</v>
      </c>
      <c r="CA34" s="444">
        <v>1</v>
      </c>
      <c r="CB34" s="444">
        <v>1</v>
      </c>
    </row>
    <row r="35" spans="1:80" ht="12.75">
      <c r="A35" s="461">
        <v>17</v>
      </c>
      <c r="B35" s="460" t="s">
        <v>2066</v>
      </c>
      <c r="C35" s="459" t="s">
        <v>2067</v>
      </c>
      <c r="D35" s="458" t="s">
        <v>259</v>
      </c>
      <c r="E35" s="457">
        <v>15</v>
      </c>
      <c r="F35" s="457">
        <v>0</v>
      </c>
      <c r="G35" s="456">
        <f t="shared" si="0"/>
        <v>0</v>
      </c>
      <c r="H35" s="455">
        <v>0.001</v>
      </c>
      <c r="I35" s="454">
        <f t="shared" si="1"/>
        <v>0.015</v>
      </c>
      <c r="J35" s="1139"/>
      <c r="K35" s="1140">
        <f t="shared" si="2"/>
        <v>0</v>
      </c>
      <c r="L35" s="436"/>
      <c r="O35" s="444">
        <v>2</v>
      </c>
      <c r="AA35" s="434">
        <v>3</v>
      </c>
      <c r="AB35" s="434">
        <v>1</v>
      </c>
      <c r="AC35" s="434">
        <v>572404</v>
      </c>
      <c r="AZ35" s="434">
        <v>1</v>
      </c>
      <c r="BA35" s="434">
        <f t="shared" si="3"/>
        <v>0</v>
      </c>
      <c r="BB35" s="434">
        <f t="shared" si="4"/>
        <v>0</v>
      </c>
      <c r="BC35" s="434">
        <f t="shared" si="5"/>
        <v>0</v>
      </c>
      <c r="BD35" s="434">
        <f t="shared" si="6"/>
        <v>0</v>
      </c>
      <c r="BE35" s="434">
        <f t="shared" si="7"/>
        <v>0</v>
      </c>
      <c r="CA35" s="444">
        <v>3</v>
      </c>
      <c r="CB35" s="444">
        <v>1</v>
      </c>
    </row>
    <row r="36" spans="1:80" ht="12.75">
      <c r="A36" s="461">
        <v>18</v>
      </c>
      <c r="B36" s="460" t="s">
        <v>2068</v>
      </c>
      <c r="C36" s="459" t="s">
        <v>2069</v>
      </c>
      <c r="D36" s="458" t="s">
        <v>196</v>
      </c>
      <c r="E36" s="457">
        <v>30</v>
      </c>
      <c r="F36" s="457">
        <v>0</v>
      </c>
      <c r="G36" s="456">
        <f t="shared" si="0"/>
        <v>0</v>
      </c>
      <c r="H36" s="455">
        <v>0.002</v>
      </c>
      <c r="I36" s="454">
        <f t="shared" si="1"/>
        <v>0.06</v>
      </c>
      <c r="J36" s="1139"/>
      <c r="K36" s="1140">
        <f t="shared" si="2"/>
        <v>0</v>
      </c>
      <c r="L36" s="436"/>
      <c r="O36" s="444">
        <v>2</v>
      </c>
      <c r="AA36" s="434">
        <v>3</v>
      </c>
      <c r="AB36" s="434">
        <v>1</v>
      </c>
      <c r="AC36" s="434">
        <v>2650302</v>
      </c>
      <c r="AZ36" s="434">
        <v>1</v>
      </c>
      <c r="BA36" s="434">
        <f t="shared" si="3"/>
        <v>0</v>
      </c>
      <c r="BB36" s="434">
        <f t="shared" si="4"/>
        <v>0</v>
      </c>
      <c r="BC36" s="434">
        <f t="shared" si="5"/>
        <v>0</v>
      </c>
      <c r="BD36" s="434">
        <f t="shared" si="6"/>
        <v>0</v>
      </c>
      <c r="BE36" s="434">
        <f t="shared" si="7"/>
        <v>0</v>
      </c>
      <c r="CA36" s="444">
        <v>3</v>
      </c>
      <c r="CB36" s="444">
        <v>1</v>
      </c>
    </row>
    <row r="37" spans="1:80" ht="12.75">
      <c r="A37" s="461">
        <v>19</v>
      </c>
      <c r="B37" s="460" t="s">
        <v>2070</v>
      </c>
      <c r="C37" s="459" t="s">
        <v>2071</v>
      </c>
      <c r="D37" s="458" t="s">
        <v>154</v>
      </c>
      <c r="E37" s="457">
        <v>16.1509</v>
      </c>
      <c r="F37" s="457">
        <v>0</v>
      </c>
      <c r="G37" s="456">
        <f t="shared" si="0"/>
        <v>0</v>
      </c>
      <c r="H37" s="455">
        <v>1.67</v>
      </c>
      <c r="I37" s="454">
        <f t="shared" si="1"/>
        <v>26.972002999999997</v>
      </c>
      <c r="J37" s="1139"/>
      <c r="K37" s="1140">
        <f t="shared" si="2"/>
        <v>0</v>
      </c>
      <c r="L37" s="436"/>
      <c r="O37" s="444">
        <v>2</v>
      </c>
      <c r="AA37" s="434">
        <v>3</v>
      </c>
      <c r="AB37" s="434">
        <v>1</v>
      </c>
      <c r="AC37" s="434">
        <v>10364200</v>
      </c>
      <c r="AZ37" s="434">
        <v>1</v>
      </c>
      <c r="BA37" s="434">
        <f t="shared" si="3"/>
        <v>0</v>
      </c>
      <c r="BB37" s="434">
        <f t="shared" si="4"/>
        <v>0</v>
      </c>
      <c r="BC37" s="434">
        <f t="shared" si="5"/>
        <v>0</v>
      </c>
      <c r="BD37" s="434">
        <f t="shared" si="6"/>
        <v>0</v>
      </c>
      <c r="BE37" s="434">
        <f t="shared" si="7"/>
        <v>0</v>
      </c>
      <c r="CA37" s="444">
        <v>3</v>
      </c>
      <c r="CB37" s="444">
        <v>1</v>
      </c>
    </row>
    <row r="38" spans="1:15" ht="12.75">
      <c r="A38" s="478"/>
      <c r="B38" s="477"/>
      <c r="C38" s="1621" t="s">
        <v>2072</v>
      </c>
      <c r="D38" s="1589"/>
      <c r="E38" s="476">
        <v>7.3262</v>
      </c>
      <c r="F38" s="475"/>
      <c r="G38" s="230"/>
      <c r="H38" s="474"/>
      <c r="I38" s="473"/>
      <c r="J38" s="436"/>
      <c r="K38" s="580"/>
      <c r="L38" s="436"/>
      <c r="M38" s="472" t="s">
        <v>2072</v>
      </c>
      <c r="O38" s="444"/>
    </row>
    <row r="39" spans="1:15" ht="12.75">
      <c r="A39" s="478"/>
      <c r="B39" s="477"/>
      <c r="C39" s="1621" t="s">
        <v>2054</v>
      </c>
      <c r="D39" s="1589"/>
      <c r="E39" s="476">
        <v>8.8247</v>
      </c>
      <c r="F39" s="475"/>
      <c r="G39" s="230"/>
      <c r="H39" s="474"/>
      <c r="I39" s="473"/>
      <c r="J39" s="436"/>
      <c r="K39" s="580"/>
      <c r="L39" s="436"/>
      <c r="M39" s="472" t="s">
        <v>2054</v>
      </c>
      <c r="O39" s="444"/>
    </row>
    <row r="40" spans="1:80" ht="12.75">
      <c r="A40" s="461">
        <v>20</v>
      </c>
      <c r="B40" s="460" t="s">
        <v>2073</v>
      </c>
      <c r="C40" s="459" t="s">
        <v>2074</v>
      </c>
      <c r="D40" s="458" t="s">
        <v>259</v>
      </c>
      <c r="E40" s="457">
        <v>60</v>
      </c>
      <c r="F40" s="457">
        <v>0</v>
      </c>
      <c r="G40" s="456">
        <f>E40*F40</f>
        <v>0</v>
      </c>
      <c r="H40" s="455">
        <v>0.001</v>
      </c>
      <c r="I40" s="454">
        <f>E40*H40</f>
        <v>0.06</v>
      </c>
      <c r="J40" s="1139"/>
      <c r="K40" s="1140">
        <f>E40*J40</f>
        <v>0</v>
      </c>
      <c r="L40" s="436"/>
      <c r="O40" s="444">
        <v>2</v>
      </c>
      <c r="AA40" s="434">
        <v>3</v>
      </c>
      <c r="AB40" s="434">
        <v>1</v>
      </c>
      <c r="AC40" s="434" t="s">
        <v>2073</v>
      </c>
      <c r="AZ40" s="434">
        <v>1</v>
      </c>
      <c r="BA40" s="434">
        <f>IF(AZ40=1,G40,0)</f>
        <v>0</v>
      </c>
      <c r="BB40" s="434">
        <f>IF(AZ40=2,G40,0)</f>
        <v>0</v>
      </c>
      <c r="BC40" s="434">
        <f>IF(AZ40=3,G40,0)</f>
        <v>0</v>
      </c>
      <c r="BD40" s="434">
        <f>IF(AZ40=4,G40,0)</f>
        <v>0</v>
      </c>
      <c r="BE40" s="434">
        <f>IF(AZ40=5,G40,0)</f>
        <v>0</v>
      </c>
      <c r="CA40" s="444">
        <v>3</v>
      </c>
      <c r="CB40" s="444">
        <v>1</v>
      </c>
    </row>
    <row r="41" spans="1:80" ht="12.75">
      <c r="A41" s="461">
        <v>21</v>
      </c>
      <c r="B41" s="460" t="s">
        <v>2075</v>
      </c>
      <c r="C41" s="459" t="s">
        <v>2076</v>
      </c>
      <c r="D41" s="458" t="s">
        <v>196</v>
      </c>
      <c r="E41" s="457">
        <v>90</v>
      </c>
      <c r="F41" s="457">
        <v>0</v>
      </c>
      <c r="G41" s="456">
        <f>E41*F41</f>
        <v>0</v>
      </c>
      <c r="H41" s="455">
        <v>0.008</v>
      </c>
      <c r="I41" s="454">
        <f>E41*H41</f>
        <v>0.72</v>
      </c>
      <c r="J41" s="1139"/>
      <c r="K41" s="1140">
        <f>E41*J41</f>
        <v>0</v>
      </c>
      <c r="L41" s="436"/>
      <c r="O41" s="444">
        <v>2</v>
      </c>
      <c r="AA41" s="434">
        <v>3</v>
      </c>
      <c r="AB41" s="434">
        <v>1</v>
      </c>
      <c r="AC41" s="434">
        <v>60850017</v>
      </c>
      <c r="AZ41" s="434">
        <v>1</v>
      </c>
      <c r="BA41" s="434">
        <f>IF(AZ41=1,G41,0)</f>
        <v>0</v>
      </c>
      <c r="BB41" s="434">
        <f>IF(AZ41=2,G41,0)</f>
        <v>0</v>
      </c>
      <c r="BC41" s="434">
        <f>IF(AZ41=3,G41,0)</f>
        <v>0</v>
      </c>
      <c r="BD41" s="434">
        <f>IF(AZ41=4,G41,0)</f>
        <v>0</v>
      </c>
      <c r="BE41" s="434">
        <f>IF(AZ41=5,G41,0)</f>
        <v>0</v>
      </c>
      <c r="CA41" s="444">
        <v>3</v>
      </c>
      <c r="CB41" s="444">
        <v>1</v>
      </c>
    </row>
    <row r="42" spans="1:15" ht="12.75">
      <c r="A42" s="478"/>
      <c r="B42" s="477"/>
      <c r="C42" s="1621" t="s">
        <v>2077</v>
      </c>
      <c r="D42" s="1589"/>
      <c r="E42" s="476">
        <v>90</v>
      </c>
      <c r="F42" s="475"/>
      <c r="G42" s="230"/>
      <c r="H42" s="474"/>
      <c r="I42" s="473"/>
      <c r="J42" s="436"/>
      <c r="K42" s="580"/>
      <c r="L42" s="436"/>
      <c r="M42" s="472" t="s">
        <v>2077</v>
      </c>
      <c r="O42" s="444"/>
    </row>
    <row r="43" spans="1:80" ht="12.75">
      <c r="A43" s="461">
        <v>22</v>
      </c>
      <c r="B43" s="460" t="s">
        <v>2078</v>
      </c>
      <c r="C43" s="459" t="s">
        <v>2079</v>
      </c>
      <c r="D43" s="458" t="s">
        <v>196</v>
      </c>
      <c r="E43" s="457">
        <v>90</v>
      </c>
      <c r="F43" s="457">
        <v>0</v>
      </c>
      <c r="G43" s="456">
        <f>E43*F43</f>
        <v>0</v>
      </c>
      <c r="H43" s="455">
        <v>0.0025</v>
      </c>
      <c r="I43" s="454">
        <f>E43*H43</f>
        <v>0.225</v>
      </c>
      <c r="J43" s="1139"/>
      <c r="K43" s="1140">
        <f>E43*J43</f>
        <v>0</v>
      </c>
      <c r="L43" s="436"/>
      <c r="O43" s="444">
        <v>2</v>
      </c>
      <c r="AA43" s="434">
        <v>3</v>
      </c>
      <c r="AB43" s="434">
        <v>1</v>
      </c>
      <c r="AC43" s="434">
        <v>60850031</v>
      </c>
      <c r="AZ43" s="434">
        <v>1</v>
      </c>
      <c r="BA43" s="434">
        <f>IF(AZ43=1,G43,0)</f>
        <v>0</v>
      </c>
      <c r="BB43" s="434">
        <f>IF(AZ43=2,G43,0)</f>
        <v>0</v>
      </c>
      <c r="BC43" s="434">
        <f>IF(AZ43=3,G43,0)</f>
        <v>0</v>
      </c>
      <c r="BD43" s="434">
        <f>IF(AZ43=4,G43,0)</f>
        <v>0</v>
      </c>
      <c r="BE43" s="434">
        <f>IF(AZ43=5,G43,0)</f>
        <v>0</v>
      </c>
      <c r="CA43" s="444">
        <v>3</v>
      </c>
      <c r="CB43" s="444">
        <v>1</v>
      </c>
    </row>
    <row r="44" spans="1:15" ht="12.75">
      <c r="A44" s="478"/>
      <c r="B44" s="477"/>
      <c r="C44" s="1621" t="s">
        <v>2077</v>
      </c>
      <c r="D44" s="1589"/>
      <c r="E44" s="476">
        <v>90</v>
      </c>
      <c r="F44" s="475"/>
      <c r="G44" s="230"/>
      <c r="H44" s="474"/>
      <c r="I44" s="473"/>
      <c r="J44" s="474"/>
      <c r="K44" s="580"/>
      <c r="L44" s="436"/>
      <c r="M44" s="472" t="s">
        <v>2077</v>
      </c>
      <c r="O44" s="444"/>
    </row>
    <row r="45" spans="1:57" ht="12.75">
      <c r="A45" s="453"/>
      <c r="B45" s="452" t="s">
        <v>175</v>
      </c>
      <c r="C45" s="451" t="s">
        <v>176</v>
      </c>
      <c r="D45" s="450"/>
      <c r="E45" s="449"/>
      <c r="F45" s="448"/>
      <c r="G45" s="447">
        <f>SUM(G7:G44)</f>
        <v>0</v>
      </c>
      <c r="H45" s="446"/>
      <c r="I45" s="445">
        <f>SUM(I7:I44)</f>
        <v>28.053252999999998</v>
      </c>
      <c r="J45" s="569"/>
      <c r="K45" s="576">
        <f>SUM(K7:K44)</f>
        <v>0</v>
      </c>
      <c r="L45" s="436"/>
      <c r="O45" s="444">
        <v>4</v>
      </c>
      <c r="BA45" s="443">
        <f>SUM(BA7:BA44)</f>
        <v>0</v>
      </c>
      <c r="BB45" s="443">
        <f>SUM(BB7:BB44)</f>
        <v>0</v>
      </c>
      <c r="BC45" s="443">
        <f>SUM(BC7:BC44)</f>
        <v>0</v>
      </c>
      <c r="BD45" s="443">
        <f>SUM(BD7:BD44)</f>
        <v>0</v>
      </c>
      <c r="BE45" s="443">
        <f>SUM(BE7:BE44)</f>
        <v>0</v>
      </c>
    </row>
    <row r="46" spans="1:15" ht="12.75">
      <c r="A46" s="471" t="s">
        <v>140</v>
      </c>
      <c r="B46" s="470" t="s">
        <v>177</v>
      </c>
      <c r="C46" s="469" t="s">
        <v>178</v>
      </c>
      <c r="D46" s="468"/>
      <c r="E46" s="467"/>
      <c r="F46" s="467"/>
      <c r="G46" s="466"/>
      <c r="H46" s="465"/>
      <c r="I46" s="464"/>
      <c r="J46" s="568"/>
      <c r="K46" s="569"/>
      <c r="L46" s="436"/>
      <c r="O46" s="444">
        <v>1</v>
      </c>
    </row>
    <row r="47" spans="1:80" ht="12.75">
      <c r="A47" s="461">
        <v>23</v>
      </c>
      <c r="B47" s="460" t="s">
        <v>506</v>
      </c>
      <c r="C47" s="459" t="s">
        <v>2080</v>
      </c>
      <c r="D47" s="458" t="s">
        <v>181</v>
      </c>
      <c r="E47" s="457">
        <v>1</v>
      </c>
      <c r="F47" s="457">
        <v>0</v>
      </c>
      <c r="G47" s="456">
        <f>E47*F47</f>
        <v>0</v>
      </c>
      <c r="H47" s="455">
        <v>0</v>
      </c>
      <c r="I47" s="454">
        <f>E47*H47</f>
        <v>0</v>
      </c>
      <c r="J47" s="570">
        <v>0</v>
      </c>
      <c r="K47" s="571">
        <f>E47*J47</f>
        <v>0</v>
      </c>
      <c r="L47" s="436"/>
      <c r="O47" s="444">
        <v>2</v>
      </c>
      <c r="AA47" s="434">
        <v>1</v>
      </c>
      <c r="AB47" s="434">
        <v>1</v>
      </c>
      <c r="AC47" s="434">
        <v>1</v>
      </c>
      <c r="AZ47" s="434">
        <v>1</v>
      </c>
      <c r="BA47" s="434">
        <f>IF(AZ47=1,G47,0)</f>
        <v>0</v>
      </c>
      <c r="BB47" s="434">
        <f>IF(AZ47=2,G47,0)</f>
        <v>0</v>
      </c>
      <c r="BC47" s="434">
        <f>IF(AZ47=3,G47,0)</f>
        <v>0</v>
      </c>
      <c r="BD47" s="434">
        <f>IF(AZ47=4,G47,0)</f>
        <v>0</v>
      </c>
      <c r="BE47" s="434">
        <f>IF(AZ47=5,G47,0)</f>
        <v>0</v>
      </c>
      <c r="CA47" s="444">
        <v>1</v>
      </c>
      <c r="CB47" s="444">
        <v>1</v>
      </c>
    </row>
    <row r="48" spans="1:57" ht="12.75">
      <c r="A48" s="453"/>
      <c r="B48" s="452" t="s">
        <v>175</v>
      </c>
      <c r="C48" s="451" t="s">
        <v>182</v>
      </c>
      <c r="D48" s="450"/>
      <c r="E48" s="449"/>
      <c r="F48" s="448"/>
      <c r="G48" s="447">
        <f>SUM(G46:G47)</f>
        <v>0</v>
      </c>
      <c r="H48" s="446"/>
      <c r="I48" s="445">
        <f>SUM(I46:I47)</f>
        <v>0</v>
      </c>
      <c r="J48" s="568"/>
      <c r="K48" s="576">
        <f>SUM(K46:K47)</f>
        <v>0</v>
      </c>
      <c r="L48" s="436"/>
      <c r="O48" s="444">
        <v>4</v>
      </c>
      <c r="BA48" s="443">
        <f>SUM(BA46:BA47)</f>
        <v>0</v>
      </c>
      <c r="BB48" s="443">
        <f>SUM(BB46:BB47)</f>
        <v>0</v>
      </c>
      <c r="BC48" s="443">
        <f>SUM(BC46:BC47)</f>
        <v>0</v>
      </c>
      <c r="BD48" s="443">
        <f>SUM(BD46:BD47)</f>
        <v>0</v>
      </c>
      <c r="BE48" s="443">
        <f>SUM(BE46:BE47)</f>
        <v>0</v>
      </c>
    </row>
    <row r="49" spans="1:15" ht="12.75">
      <c r="A49" s="471" t="s">
        <v>140</v>
      </c>
      <c r="B49" s="470" t="s">
        <v>183</v>
      </c>
      <c r="C49" s="469" t="s">
        <v>184</v>
      </c>
      <c r="D49" s="468"/>
      <c r="E49" s="467"/>
      <c r="F49" s="467"/>
      <c r="G49" s="466"/>
      <c r="H49" s="465"/>
      <c r="I49" s="464"/>
      <c r="J49" s="568"/>
      <c r="K49" s="569"/>
      <c r="L49" s="436"/>
      <c r="O49" s="444">
        <v>1</v>
      </c>
    </row>
    <row r="50" spans="1:80" ht="12.75">
      <c r="A50" s="461">
        <v>24</v>
      </c>
      <c r="B50" s="460" t="s">
        <v>541</v>
      </c>
      <c r="C50" s="459" t="s">
        <v>542</v>
      </c>
      <c r="D50" s="458" t="s">
        <v>154</v>
      </c>
      <c r="E50" s="457">
        <v>1.12</v>
      </c>
      <c r="F50" s="457">
        <v>0</v>
      </c>
      <c r="G50" s="456">
        <f>E50*F50</f>
        <v>0</v>
      </c>
      <c r="H50" s="455">
        <v>2.525</v>
      </c>
      <c r="I50" s="454">
        <f>E50*H50</f>
        <v>2.8280000000000003</v>
      </c>
      <c r="J50" s="570">
        <v>0</v>
      </c>
      <c r="K50" s="571">
        <f>E50*J50</f>
        <v>0</v>
      </c>
      <c r="L50" s="436"/>
      <c r="O50" s="444">
        <v>2</v>
      </c>
      <c r="AA50" s="434">
        <v>1</v>
      </c>
      <c r="AB50" s="434">
        <v>1</v>
      </c>
      <c r="AC50" s="434">
        <v>1</v>
      </c>
      <c r="AZ50" s="434">
        <v>1</v>
      </c>
      <c r="BA50" s="434">
        <f>IF(AZ50=1,G50,0)</f>
        <v>0</v>
      </c>
      <c r="BB50" s="434">
        <f>IF(AZ50=2,G50,0)</f>
        <v>0</v>
      </c>
      <c r="BC50" s="434">
        <f>IF(AZ50=3,G50,0)</f>
        <v>0</v>
      </c>
      <c r="BD50" s="434">
        <f>IF(AZ50=4,G50,0)</f>
        <v>0</v>
      </c>
      <c r="BE50" s="434">
        <f>IF(AZ50=5,G50,0)</f>
        <v>0</v>
      </c>
      <c r="CA50" s="444">
        <v>1</v>
      </c>
      <c r="CB50" s="444">
        <v>1</v>
      </c>
    </row>
    <row r="51" spans="1:15" ht="12.75">
      <c r="A51" s="478"/>
      <c r="B51" s="477"/>
      <c r="C51" s="1621" t="s">
        <v>2044</v>
      </c>
      <c r="D51" s="1589"/>
      <c r="E51" s="476">
        <v>1.12</v>
      </c>
      <c r="F51" s="475"/>
      <c r="G51" s="230"/>
      <c r="H51" s="474"/>
      <c r="I51" s="473"/>
      <c r="J51" s="569"/>
      <c r="K51" s="572"/>
      <c r="L51" s="436"/>
      <c r="M51" s="472" t="s">
        <v>2044</v>
      </c>
      <c r="O51" s="444"/>
    </row>
    <row r="52" spans="1:57" ht="12.75">
      <c r="A52" s="453"/>
      <c r="B52" s="452" t="s">
        <v>175</v>
      </c>
      <c r="C52" s="451" t="s">
        <v>187</v>
      </c>
      <c r="D52" s="450"/>
      <c r="E52" s="449"/>
      <c r="F52" s="448"/>
      <c r="G52" s="447">
        <f>SUM(G49:G51)</f>
        <v>0</v>
      </c>
      <c r="H52" s="446"/>
      <c r="I52" s="445">
        <f>SUM(I49:I51)</f>
        <v>2.8280000000000003</v>
      </c>
      <c r="J52" s="568"/>
      <c r="K52" s="576">
        <f>SUM(K49:K51)</f>
        <v>0</v>
      </c>
      <c r="L52" s="436"/>
      <c r="O52" s="444">
        <v>4</v>
      </c>
      <c r="BA52" s="443">
        <f>SUM(BA49:BA51)</f>
        <v>0</v>
      </c>
      <c r="BB52" s="443">
        <f>SUM(BB49:BB51)</f>
        <v>0</v>
      </c>
      <c r="BC52" s="443">
        <f>SUM(BC49:BC51)</f>
        <v>0</v>
      </c>
      <c r="BD52" s="443">
        <f>SUM(BD49:BD51)</f>
        <v>0</v>
      </c>
      <c r="BE52" s="443">
        <f>SUM(BE49:BE51)</f>
        <v>0</v>
      </c>
    </row>
    <row r="53" spans="1:15" ht="12.75">
      <c r="A53" s="471" t="s">
        <v>140</v>
      </c>
      <c r="B53" s="470" t="s">
        <v>188</v>
      </c>
      <c r="C53" s="469" t="s">
        <v>189</v>
      </c>
      <c r="D53" s="468"/>
      <c r="E53" s="467"/>
      <c r="F53" s="467"/>
      <c r="G53" s="466"/>
      <c r="H53" s="465"/>
      <c r="I53" s="464"/>
      <c r="J53" s="568"/>
      <c r="K53" s="569"/>
      <c r="L53" s="436"/>
      <c r="O53" s="444">
        <v>1</v>
      </c>
    </row>
    <row r="54" spans="1:80" ht="12.75">
      <c r="A54" s="461">
        <v>25</v>
      </c>
      <c r="B54" s="460" t="s">
        <v>2081</v>
      </c>
      <c r="C54" s="459" t="s">
        <v>2082</v>
      </c>
      <c r="D54" s="458" t="s">
        <v>196</v>
      </c>
      <c r="E54" s="457">
        <v>100</v>
      </c>
      <c r="F54" s="457">
        <v>0</v>
      </c>
      <c r="G54" s="456">
        <f>E54*F54</f>
        <v>0</v>
      </c>
      <c r="H54" s="455">
        <v>0.00289</v>
      </c>
      <c r="I54" s="454">
        <f>E54*H54</f>
        <v>0.28900000000000003</v>
      </c>
      <c r="J54" s="1139">
        <v>0</v>
      </c>
      <c r="K54" s="1140">
        <f>E54*J54</f>
        <v>0</v>
      </c>
      <c r="L54" s="436"/>
      <c r="O54" s="444">
        <v>2</v>
      </c>
      <c r="AA54" s="434">
        <v>1</v>
      </c>
      <c r="AB54" s="434">
        <v>1</v>
      </c>
      <c r="AC54" s="434">
        <v>1</v>
      </c>
      <c r="AZ54" s="434">
        <v>1</v>
      </c>
      <c r="BA54" s="434">
        <f>IF(AZ54=1,G54,0)</f>
        <v>0</v>
      </c>
      <c r="BB54" s="434">
        <f>IF(AZ54=2,G54,0)</f>
        <v>0</v>
      </c>
      <c r="BC54" s="434">
        <f>IF(AZ54=3,G54,0)</f>
        <v>0</v>
      </c>
      <c r="BD54" s="434">
        <f>IF(AZ54=4,G54,0)</f>
        <v>0</v>
      </c>
      <c r="BE54" s="434">
        <f>IF(AZ54=5,G54,0)</f>
        <v>0</v>
      </c>
      <c r="CA54" s="444">
        <v>1</v>
      </c>
      <c r="CB54" s="444">
        <v>1</v>
      </c>
    </row>
    <row r="55" spans="1:80" ht="12.75">
      <c r="A55" s="461">
        <v>26</v>
      </c>
      <c r="B55" s="460" t="s">
        <v>2083</v>
      </c>
      <c r="C55" s="459" t="s">
        <v>2084</v>
      </c>
      <c r="D55" s="458" t="s">
        <v>231</v>
      </c>
      <c r="E55" s="457">
        <v>20</v>
      </c>
      <c r="F55" s="457">
        <v>0</v>
      </c>
      <c r="G55" s="456">
        <f>E55*F55</f>
        <v>0</v>
      </c>
      <c r="H55" s="455">
        <v>0.00097</v>
      </c>
      <c r="I55" s="454">
        <f>E55*H55</f>
        <v>0.0194</v>
      </c>
      <c r="J55" s="1139">
        <v>0</v>
      </c>
      <c r="K55" s="1140">
        <f>E55*J55</f>
        <v>0</v>
      </c>
      <c r="L55" s="436"/>
      <c r="O55" s="444">
        <v>2</v>
      </c>
      <c r="AA55" s="434">
        <v>1</v>
      </c>
      <c r="AB55" s="434">
        <v>1</v>
      </c>
      <c r="AC55" s="434">
        <v>1</v>
      </c>
      <c r="AZ55" s="434">
        <v>1</v>
      </c>
      <c r="BA55" s="434">
        <f>IF(AZ55=1,G55,0)</f>
        <v>0</v>
      </c>
      <c r="BB55" s="434">
        <f>IF(AZ55=2,G55,0)</f>
        <v>0</v>
      </c>
      <c r="BC55" s="434">
        <f>IF(AZ55=3,G55,0)</f>
        <v>0</v>
      </c>
      <c r="BD55" s="434">
        <f>IF(AZ55=4,G55,0)</f>
        <v>0</v>
      </c>
      <c r="BE55" s="434">
        <f>IF(AZ55=5,G55,0)</f>
        <v>0</v>
      </c>
      <c r="CA55" s="444">
        <v>1</v>
      </c>
      <c r="CB55" s="444">
        <v>1</v>
      </c>
    </row>
    <row r="56" spans="1:80" ht="12.75">
      <c r="A56" s="461">
        <v>27</v>
      </c>
      <c r="B56" s="460" t="s">
        <v>2085</v>
      </c>
      <c r="C56" s="459" t="s">
        <v>2086</v>
      </c>
      <c r="D56" s="458" t="s">
        <v>145</v>
      </c>
      <c r="E56" s="457">
        <v>448.3602</v>
      </c>
      <c r="F56" s="457">
        <v>0</v>
      </c>
      <c r="G56" s="456">
        <f>E56*F56</f>
        <v>0</v>
      </c>
      <c r="H56" s="455">
        <v>0</v>
      </c>
      <c r="I56" s="454">
        <f>E56*H56</f>
        <v>0</v>
      </c>
      <c r="J56" s="1139">
        <v>0</v>
      </c>
      <c r="K56" s="1140">
        <f>E56*J56</f>
        <v>0</v>
      </c>
      <c r="L56" s="436"/>
      <c r="O56" s="444">
        <v>2</v>
      </c>
      <c r="AA56" s="434">
        <v>1</v>
      </c>
      <c r="AB56" s="434">
        <v>1</v>
      </c>
      <c r="AC56" s="434">
        <v>1</v>
      </c>
      <c r="AZ56" s="434">
        <v>1</v>
      </c>
      <c r="BA56" s="434">
        <f>IF(AZ56=1,G56,0)</f>
        <v>0</v>
      </c>
      <c r="BB56" s="434">
        <f>IF(AZ56=2,G56,0)</f>
        <v>0</v>
      </c>
      <c r="BC56" s="434">
        <f>IF(AZ56=3,G56,0)</f>
        <v>0</v>
      </c>
      <c r="BD56" s="434">
        <f>IF(AZ56=4,G56,0)</f>
        <v>0</v>
      </c>
      <c r="BE56" s="434">
        <f>IF(AZ56=5,G56,0)</f>
        <v>0</v>
      </c>
      <c r="CA56" s="444">
        <v>1</v>
      </c>
      <c r="CB56" s="444">
        <v>1</v>
      </c>
    </row>
    <row r="57" spans="1:15" ht="12.75">
      <c r="A57" s="478"/>
      <c r="B57" s="477"/>
      <c r="C57" s="1621" t="s">
        <v>2087</v>
      </c>
      <c r="D57" s="1589"/>
      <c r="E57" s="476">
        <v>0</v>
      </c>
      <c r="F57" s="475"/>
      <c r="G57" s="230"/>
      <c r="H57" s="474"/>
      <c r="I57" s="473"/>
      <c r="J57" s="436"/>
      <c r="K57" s="580"/>
      <c r="L57" s="436"/>
      <c r="M57" s="472" t="s">
        <v>2087</v>
      </c>
      <c r="O57" s="444"/>
    </row>
    <row r="58" spans="1:15" ht="12.75">
      <c r="A58" s="478"/>
      <c r="B58" s="477"/>
      <c r="C58" s="1621" t="s">
        <v>2088</v>
      </c>
      <c r="D58" s="1589"/>
      <c r="E58" s="476">
        <v>73.2622</v>
      </c>
      <c r="F58" s="475"/>
      <c r="G58" s="230"/>
      <c r="H58" s="474"/>
      <c r="I58" s="473"/>
      <c r="J58" s="436"/>
      <c r="K58" s="580"/>
      <c r="L58" s="436"/>
      <c r="M58" s="472" t="s">
        <v>2088</v>
      </c>
      <c r="O58" s="444"/>
    </row>
    <row r="59" spans="1:15" ht="12.75">
      <c r="A59" s="478"/>
      <c r="B59" s="477"/>
      <c r="C59" s="1621" t="s">
        <v>2089</v>
      </c>
      <c r="D59" s="1589"/>
      <c r="E59" s="476">
        <v>88.247</v>
      </c>
      <c r="F59" s="475"/>
      <c r="G59" s="230"/>
      <c r="H59" s="474"/>
      <c r="I59" s="473"/>
      <c r="J59" s="436"/>
      <c r="K59" s="580"/>
      <c r="L59" s="436"/>
      <c r="M59" s="472" t="s">
        <v>2089</v>
      </c>
      <c r="O59" s="444"/>
    </row>
    <row r="60" spans="1:15" ht="12.75">
      <c r="A60" s="478"/>
      <c r="B60" s="477"/>
      <c r="C60" s="1621" t="s">
        <v>2090</v>
      </c>
      <c r="D60" s="1589"/>
      <c r="E60" s="476">
        <v>4.92</v>
      </c>
      <c r="F60" s="475"/>
      <c r="G60" s="230"/>
      <c r="H60" s="474"/>
      <c r="I60" s="473"/>
      <c r="J60" s="436"/>
      <c r="K60" s="580"/>
      <c r="L60" s="436"/>
      <c r="M60" s="472" t="s">
        <v>2090</v>
      </c>
      <c r="O60" s="444"/>
    </row>
    <row r="61" spans="1:15" ht="12.75">
      <c r="A61" s="478"/>
      <c r="B61" s="477"/>
      <c r="C61" s="1621" t="s">
        <v>2091</v>
      </c>
      <c r="D61" s="1589"/>
      <c r="E61" s="476">
        <v>13.571</v>
      </c>
      <c r="F61" s="475"/>
      <c r="G61" s="230"/>
      <c r="H61" s="474"/>
      <c r="I61" s="473"/>
      <c r="J61" s="436"/>
      <c r="K61" s="580"/>
      <c r="L61" s="436"/>
      <c r="M61" s="472" t="s">
        <v>2091</v>
      </c>
      <c r="O61" s="444"/>
    </row>
    <row r="62" spans="1:15" ht="12.75">
      <c r="A62" s="478"/>
      <c r="B62" s="477"/>
      <c r="C62" s="1621" t="s">
        <v>2092</v>
      </c>
      <c r="D62" s="1589"/>
      <c r="E62" s="476">
        <v>7.344</v>
      </c>
      <c r="F62" s="475"/>
      <c r="G62" s="230"/>
      <c r="H62" s="474"/>
      <c r="I62" s="473"/>
      <c r="J62" s="436"/>
      <c r="K62" s="580"/>
      <c r="L62" s="436"/>
      <c r="M62" s="472" t="s">
        <v>2092</v>
      </c>
      <c r="O62" s="444"/>
    </row>
    <row r="63" spans="1:15" ht="12.75">
      <c r="A63" s="478"/>
      <c r="B63" s="477"/>
      <c r="C63" s="1621" t="s">
        <v>2093</v>
      </c>
      <c r="D63" s="1589"/>
      <c r="E63" s="476">
        <v>0</v>
      </c>
      <c r="F63" s="475"/>
      <c r="G63" s="230"/>
      <c r="H63" s="474"/>
      <c r="I63" s="473"/>
      <c r="J63" s="436"/>
      <c r="K63" s="580"/>
      <c r="L63" s="436"/>
      <c r="M63" s="472" t="s">
        <v>2093</v>
      </c>
      <c r="O63" s="444"/>
    </row>
    <row r="64" spans="1:15" ht="12.75">
      <c r="A64" s="478"/>
      <c r="B64" s="477"/>
      <c r="C64" s="1621" t="s">
        <v>2094</v>
      </c>
      <c r="D64" s="1589"/>
      <c r="E64" s="476">
        <v>157.08</v>
      </c>
      <c r="F64" s="475"/>
      <c r="G64" s="230"/>
      <c r="H64" s="474"/>
      <c r="I64" s="473"/>
      <c r="J64" s="436"/>
      <c r="K64" s="580"/>
      <c r="L64" s="436"/>
      <c r="M64" s="472" t="s">
        <v>2094</v>
      </c>
      <c r="O64" s="444"/>
    </row>
    <row r="65" spans="1:15" ht="12.75">
      <c r="A65" s="478"/>
      <c r="B65" s="477"/>
      <c r="C65" s="1621" t="s">
        <v>2095</v>
      </c>
      <c r="D65" s="1589"/>
      <c r="E65" s="476">
        <v>45.365</v>
      </c>
      <c r="F65" s="475"/>
      <c r="G65" s="230"/>
      <c r="H65" s="474"/>
      <c r="I65" s="473"/>
      <c r="J65" s="436"/>
      <c r="K65" s="580"/>
      <c r="L65" s="436"/>
      <c r="M65" s="472" t="s">
        <v>2095</v>
      </c>
      <c r="O65" s="444"/>
    </row>
    <row r="66" spans="1:15" ht="12.75">
      <c r="A66" s="478"/>
      <c r="B66" s="477"/>
      <c r="C66" s="1621" t="s">
        <v>2096</v>
      </c>
      <c r="D66" s="1589"/>
      <c r="E66" s="476">
        <v>38</v>
      </c>
      <c r="F66" s="475"/>
      <c r="G66" s="230"/>
      <c r="H66" s="474"/>
      <c r="I66" s="473"/>
      <c r="J66" s="436"/>
      <c r="K66" s="580"/>
      <c r="L66" s="436"/>
      <c r="M66" s="472" t="s">
        <v>2096</v>
      </c>
      <c r="O66" s="444"/>
    </row>
    <row r="67" spans="1:15" ht="12.75">
      <c r="A67" s="478"/>
      <c r="B67" s="477"/>
      <c r="C67" s="1621" t="s">
        <v>2097</v>
      </c>
      <c r="D67" s="1589"/>
      <c r="E67" s="476">
        <v>7.035</v>
      </c>
      <c r="F67" s="475"/>
      <c r="G67" s="230"/>
      <c r="H67" s="474"/>
      <c r="I67" s="473"/>
      <c r="J67" s="436"/>
      <c r="K67" s="580"/>
      <c r="L67" s="436"/>
      <c r="M67" s="472" t="s">
        <v>2097</v>
      </c>
      <c r="O67" s="444"/>
    </row>
    <row r="68" spans="1:15" ht="12.75">
      <c r="A68" s="478"/>
      <c r="B68" s="477"/>
      <c r="C68" s="1621" t="s">
        <v>2098</v>
      </c>
      <c r="D68" s="1589"/>
      <c r="E68" s="476">
        <v>7.236</v>
      </c>
      <c r="F68" s="475"/>
      <c r="G68" s="230"/>
      <c r="H68" s="474"/>
      <c r="I68" s="473"/>
      <c r="J68" s="436"/>
      <c r="K68" s="580"/>
      <c r="L68" s="436"/>
      <c r="M68" s="472" t="s">
        <v>2098</v>
      </c>
      <c r="O68" s="444"/>
    </row>
    <row r="69" spans="1:15" ht="12.75">
      <c r="A69" s="478"/>
      <c r="B69" s="477"/>
      <c r="C69" s="1621" t="s">
        <v>2099</v>
      </c>
      <c r="D69" s="1589"/>
      <c r="E69" s="476">
        <v>6.3</v>
      </c>
      <c r="F69" s="475"/>
      <c r="G69" s="230"/>
      <c r="H69" s="474"/>
      <c r="I69" s="473"/>
      <c r="J69" s="436"/>
      <c r="K69" s="580"/>
      <c r="L69" s="436"/>
      <c r="M69" s="472" t="s">
        <v>2099</v>
      </c>
      <c r="O69" s="444"/>
    </row>
    <row r="70" spans="1:57" ht="12.75">
      <c r="A70" s="453"/>
      <c r="B70" s="452" t="s">
        <v>175</v>
      </c>
      <c r="C70" s="451" t="s">
        <v>201</v>
      </c>
      <c r="D70" s="450"/>
      <c r="E70" s="449"/>
      <c r="F70" s="448"/>
      <c r="G70" s="447">
        <f>SUM(G53:G69)</f>
        <v>0</v>
      </c>
      <c r="H70" s="446"/>
      <c r="I70" s="445">
        <f>SUM(I53:I69)</f>
        <v>0.3084</v>
      </c>
      <c r="J70" s="568"/>
      <c r="K70" s="576">
        <f>SUM(K53:K69)</f>
        <v>0</v>
      </c>
      <c r="L70" s="436"/>
      <c r="O70" s="444">
        <v>4</v>
      </c>
      <c r="BA70" s="443">
        <f>SUM(BA53:BA69)</f>
        <v>0</v>
      </c>
      <c r="BB70" s="443">
        <f>SUM(BB53:BB69)</f>
        <v>0</v>
      </c>
      <c r="BC70" s="443">
        <f>SUM(BC53:BC69)</f>
        <v>0</v>
      </c>
      <c r="BD70" s="443">
        <f>SUM(BD53:BD69)</f>
        <v>0</v>
      </c>
      <c r="BE70" s="443">
        <f>SUM(BE53:BE69)</f>
        <v>0</v>
      </c>
    </row>
    <row r="71" spans="1:15" ht="12.75">
      <c r="A71" s="471" t="s">
        <v>140</v>
      </c>
      <c r="B71" s="470" t="s">
        <v>606</v>
      </c>
      <c r="C71" s="469" t="s">
        <v>607</v>
      </c>
      <c r="D71" s="468"/>
      <c r="E71" s="467"/>
      <c r="F71" s="467"/>
      <c r="G71" s="466"/>
      <c r="H71" s="465"/>
      <c r="I71" s="464"/>
      <c r="J71" s="568"/>
      <c r="K71" s="569"/>
      <c r="L71" s="436"/>
      <c r="O71" s="444">
        <v>1</v>
      </c>
    </row>
    <row r="72" spans="1:80" ht="12.75">
      <c r="A72" s="461">
        <v>28</v>
      </c>
      <c r="B72" s="460" t="s">
        <v>2100</v>
      </c>
      <c r="C72" s="459" t="s">
        <v>2101</v>
      </c>
      <c r="D72" s="458" t="s">
        <v>145</v>
      </c>
      <c r="E72" s="457">
        <v>448.3602</v>
      </c>
      <c r="F72" s="457">
        <v>0</v>
      </c>
      <c r="G72" s="456">
        <f>E72*F72</f>
        <v>0</v>
      </c>
      <c r="H72" s="455">
        <v>0.01333</v>
      </c>
      <c r="I72" s="454">
        <f>E72*H72</f>
        <v>5.976641466</v>
      </c>
      <c r="J72" s="1139">
        <v>0</v>
      </c>
      <c r="K72" s="1140">
        <f>E72*J72</f>
        <v>0</v>
      </c>
      <c r="L72" s="436"/>
      <c r="O72" s="444">
        <v>2</v>
      </c>
      <c r="AA72" s="434">
        <v>1</v>
      </c>
      <c r="AB72" s="434">
        <v>1</v>
      </c>
      <c r="AC72" s="434">
        <v>1</v>
      </c>
      <c r="AZ72" s="434">
        <v>1</v>
      </c>
      <c r="BA72" s="434">
        <f>IF(AZ72=1,G72,0)</f>
        <v>0</v>
      </c>
      <c r="BB72" s="434">
        <f>IF(AZ72=2,G72,0)</f>
        <v>0</v>
      </c>
      <c r="BC72" s="434">
        <f>IF(AZ72=3,G72,0)</f>
        <v>0</v>
      </c>
      <c r="BD72" s="434">
        <f>IF(AZ72=4,G72,0)</f>
        <v>0</v>
      </c>
      <c r="BE72" s="434">
        <f>IF(AZ72=5,G72,0)</f>
        <v>0</v>
      </c>
      <c r="CA72" s="444">
        <v>1</v>
      </c>
      <c r="CB72" s="444">
        <v>1</v>
      </c>
    </row>
    <row r="73" spans="1:15" ht="12.75">
      <c r="A73" s="478"/>
      <c r="B73" s="477"/>
      <c r="C73" s="1621" t="s">
        <v>2087</v>
      </c>
      <c r="D73" s="1589"/>
      <c r="E73" s="476">
        <v>0</v>
      </c>
      <c r="F73" s="475"/>
      <c r="G73" s="230"/>
      <c r="H73" s="474"/>
      <c r="I73" s="473"/>
      <c r="J73" s="436"/>
      <c r="K73" s="580"/>
      <c r="L73" s="436"/>
      <c r="M73" s="472" t="s">
        <v>2087</v>
      </c>
      <c r="O73" s="444"/>
    </row>
    <row r="74" spans="1:15" ht="12.75">
      <c r="A74" s="478"/>
      <c r="B74" s="477"/>
      <c r="C74" s="1621" t="s">
        <v>2088</v>
      </c>
      <c r="D74" s="1589"/>
      <c r="E74" s="476">
        <v>73.2622</v>
      </c>
      <c r="F74" s="475"/>
      <c r="G74" s="230"/>
      <c r="H74" s="474"/>
      <c r="I74" s="473"/>
      <c r="J74" s="436"/>
      <c r="K74" s="580"/>
      <c r="L74" s="436"/>
      <c r="M74" s="472" t="s">
        <v>2088</v>
      </c>
      <c r="O74" s="444"/>
    </row>
    <row r="75" spans="1:15" ht="12.75">
      <c r="A75" s="478"/>
      <c r="B75" s="477"/>
      <c r="C75" s="1621" t="s">
        <v>2089</v>
      </c>
      <c r="D75" s="1589"/>
      <c r="E75" s="476">
        <v>88.247</v>
      </c>
      <c r="F75" s="475"/>
      <c r="G75" s="230"/>
      <c r="H75" s="474"/>
      <c r="I75" s="473"/>
      <c r="J75" s="436"/>
      <c r="K75" s="580"/>
      <c r="L75" s="436"/>
      <c r="M75" s="472" t="s">
        <v>2089</v>
      </c>
      <c r="O75" s="444"/>
    </row>
    <row r="76" spans="1:15" ht="12.75">
      <c r="A76" s="478"/>
      <c r="B76" s="477"/>
      <c r="C76" s="1621" t="s">
        <v>2090</v>
      </c>
      <c r="D76" s="1589"/>
      <c r="E76" s="476">
        <v>4.92</v>
      </c>
      <c r="F76" s="475"/>
      <c r="G76" s="230"/>
      <c r="H76" s="474"/>
      <c r="I76" s="473"/>
      <c r="J76" s="436"/>
      <c r="K76" s="580"/>
      <c r="L76" s="436"/>
      <c r="M76" s="472" t="s">
        <v>2090</v>
      </c>
      <c r="O76" s="444"/>
    </row>
    <row r="77" spans="1:15" ht="12.75">
      <c r="A77" s="478"/>
      <c r="B77" s="477"/>
      <c r="C77" s="1621" t="s">
        <v>2091</v>
      </c>
      <c r="D77" s="1589"/>
      <c r="E77" s="476">
        <v>13.571</v>
      </c>
      <c r="F77" s="475"/>
      <c r="G77" s="230"/>
      <c r="H77" s="474"/>
      <c r="I77" s="473"/>
      <c r="J77" s="436"/>
      <c r="K77" s="580"/>
      <c r="L77" s="436"/>
      <c r="M77" s="472" t="s">
        <v>2091</v>
      </c>
      <c r="O77" s="444"/>
    </row>
    <row r="78" spans="1:15" ht="12.75">
      <c r="A78" s="478"/>
      <c r="B78" s="477"/>
      <c r="C78" s="1621" t="s">
        <v>2092</v>
      </c>
      <c r="D78" s="1589"/>
      <c r="E78" s="476">
        <v>7.344</v>
      </c>
      <c r="F78" s="475"/>
      <c r="G78" s="230"/>
      <c r="H78" s="474"/>
      <c r="I78" s="473"/>
      <c r="J78" s="436"/>
      <c r="K78" s="580"/>
      <c r="L78" s="436"/>
      <c r="M78" s="472" t="s">
        <v>2092</v>
      </c>
      <c r="O78" s="444"/>
    </row>
    <row r="79" spans="1:15" ht="12.75">
      <c r="A79" s="478"/>
      <c r="B79" s="477"/>
      <c r="C79" s="1621" t="s">
        <v>2093</v>
      </c>
      <c r="D79" s="1589"/>
      <c r="E79" s="476">
        <v>0</v>
      </c>
      <c r="F79" s="475"/>
      <c r="G79" s="230"/>
      <c r="H79" s="474"/>
      <c r="I79" s="473"/>
      <c r="J79" s="436"/>
      <c r="K79" s="580"/>
      <c r="L79" s="436"/>
      <c r="M79" s="472" t="s">
        <v>2093</v>
      </c>
      <c r="O79" s="444"/>
    </row>
    <row r="80" spans="1:15" ht="12.75">
      <c r="A80" s="478"/>
      <c r="B80" s="477"/>
      <c r="C80" s="1621" t="s">
        <v>2094</v>
      </c>
      <c r="D80" s="1589"/>
      <c r="E80" s="476">
        <v>157.08</v>
      </c>
      <c r="F80" s="475"/>
      <c r="G80" s="230"/>
      <c r="H80" s="474"/>
      <c r="I80" s="473"/>
      <c r="J80" s="436"/>
      <c r="K80" s="580"/>
      <c r="L80" s="436"/>
      <c r="M80" s="472" t="s">
        <v>2094</v>
      </c>
      <c r="O80" s="444"/>
    </row>
    <row r="81" spans="1:15" ht="12.75">
      <c r="A81" s="478"/>
      <c r="B81" s="477"/>
      <c r="C81" s="1621" t="s">
        <v>2095</v>
      </c>
      <c r="D81" s="1589"/>
      <c r="E81" s="476">
        <v>45.365</v>
      </c>
      <c r="F81" s="475"/>
      <c r="G81" s="230"/>
      <c r="H81" s="474"/>
      <c r="I81" s="473"/>
      <c r="J81" s="436"/>
      <c r="K81" s="580"/>
      <c r="L81" s="436"/>
      <c r="M81" s="472" t="s">
        <v>2095</v>
      </c>
      <c r="O81" s="444"/>
    </row>
    <row r="82" spans="1:15" ht="12.75">
      <c r="A82" s="478"/>
      <c r="B82" s="477"/>
      <c r="C82" s="1621" t="s">
        <v>2096</v>
      </c>
      <c r="D82" s="1589"/>
      <c r="E82" s="476">
        <v>38</v>
      </c>
      <c r="F82" s="475"/>
      <c r="G82" s="230"/>
      <c r="H82" s="474"/>
      <c r="I82" s="473"/>
      <c r="J82" s="436"/>
      <c r="K82" s="580"/>
      <c r="L82" s="436"/>
      <c r="M82" s="472" t="s">
        <v>2096</v>
      </c>
      <c r="O82" s="444"/>
    </row>
    <row r="83" spans="1:15" ht="12.75">
      <c r="A83" s="478"/>
      <c r="B83" s="477"/>
      <c r="C83" s="1621" t="s">
        <v>2097</v>
      </c>
      <c r="D83" s="1589"/>
      <c r="E83" s="476">
        <v>7.035</v>
      </c>
      <c r="F83" s="475"/>
      <c r="G83" s="230"/>
      <c r="H83" s="474"/>
      <c r="I83" s="473"/>
      <c r="J83" s="436"/>
      <c r="K83" s="580"/>
      <c r="L83" s="436"/>
      <c r="M83" s="472" t="s">
        <v>2097</v>
      </c>
      <c r="O83" s="444"/>
    </row>
    <row r="84" spans="1:15" ht="12.75">
      <c r="A84" s="478"/>
      <c r="B84" s="477"/>
      <c r="C84" s="1621" t="s">
        <v>2098</v>
      </c>
      <c r="D84" s="1589"/>
      <c r="E84" s="476">
        <v>7.236</v>
      </c>
      <c r="F84" s="475"/>
      <c r="G84" s="230"/>
      <c r="H84" s="474"/>
      <c r="I84" s="473"/>
      <c r="J84" s="436"/>
      <c r="K84" s="580"/>
      <c r="L84" s="436"/>
      <c r="M84" s="472" t="s">
        <v>2098</v>
      </c>
      <c r="O84" s="444"/>
    </row>
    <row r="85" spans="1:15" ht="12.75">
      <c r="A85" s="478"/>
      <c r="B85" s="477"/>
      <c r="C85" s="1621" t="s">
        <v>2099</v>
      </c>
      <c r="D85" s="1589"/>
      <c r="E85" s="476">
        <v>6.3</v>
      </c>
      <c r="F85" s="475"/>
      <c r="G85" s="230"/>
      <c r="H85" s="474"/>
      <c r="I85" s="473"/>
      <c r="J85" s="436"/>
      <c r="K85" s="580"/>
      <c r="L85" s="436"/>
      <c r="M85" s="472" t="s">
        <v>2099</v>
      </c>
      <c r="O85" s="444"/>
    </row>
    <row r="86" spans="1:80" ht="12.75">
      <c r="A86" s="461">
        <v>29</v>
      </c>
      <c r="B86" s="460" t="s">
        <v>2102</v>
      </c>
      <c r="C86" s="459" t="s">
        <v>2103</v>
      </c>
      <c r="D86" s="458" t="s">
        <v>145</v>
      </c>
      <c r="E86" s="457">
        <v>448.3602</v>
      </c>
      <c r="F86" s="457">
        <v>0</v>
      </c>
      <c r="G86" s="456">
        <f>E86*F86</f>
        <v>0</v>
      </c>
      <c r="H86" s="455">
        <v>0.0016</v>
      </c>
      <c r="I86" s="454">
        <f>E86*H86</f>
        <v>0.7173763200000001</v>
      </c>
      <c r="J86" s="1139">
        <v>0</v>
      </c>
      <c r="K86" s="1140">
        <f>E86*J86</f>
        <v>0</v>
      </c>
      <c r="L86" s="436"/>
      <c r="O86" s="444">
        <v>2</v>
      </c>
      <c r="AA86" s="434">
        <v>1</v>
      </c>
      <c r="AB86" s="434">
        <v>0</v>
      </c>
      <c r="AC86" s="434">
        <v>0</v>
      </c>
      <c r="AZ86" s="434">
        <v>1</v>
      </c>
      <c r="BA86" s="434">
        <f>IF(AZ86=1,G86,0)</f>
        <v>0</v>
      </c>
      <c r="BB86" s="434">
        <f>IF(AZ86=2,G86,0)</f>
        <v>0</v>
      </c>
      <c r="BC86" s="434">
        <f>IF(AZ86=3,G86,0)</f>
        <v>0</v>
      </c>
      <c r="BD86" s="434">
        <f>IF(AZ86=4,G86,0)</f>
        <v>0</v>
      </c>
      <c r="BE86" s="434">
        <f>IF(AZ86=5,G86,0)</f>
        <v>0</v>
      </c>
      <c r="CA86" s="444">
        <v>1</v>
      </c>
      <c r="CB86" s="444">
        <v>0</v>
      </c>
    </row>
    <row r="87" spans="1:15" ht="12.75">
      <c r="A87" s="478"/>
      <c r="B87" s="477"/>
      <c r="C87" s="1621" t="s">
        <v>2087</v>
      </c>
      <c r="D87" s="1589"/>
      <c r="E87" s="476">
        <v>0</v>
      </c>
      <c r="F87" s="475"/>
      <c r="G87" s="230"/>
      <c r="H87" s="474"/>
      <c r="I87" s="473"/>
      <c r="J87" s="436"/>
      <c r="K87" s="580"/>
      <c r="L87" s="436"/>
      <c r="M87" s="472" t="s">
        <v>2087</v>
      </c>
      <c r="O87" s="444"/>
    </row>
    <row r="88" spans="1:15" ht="12.75">
      <c r="A88" s="478"/>
      <c r="B88" s="477"/>
      <c r="C88" s="1621" t="s">
        <v>2088</v>
      </c>
      <c r="D88" s="1589"/>
      <c r="E88" s="476">
        <v>73.2622</v>
      </c>
      <c r="F88" s="475"/>
      <c r="G88" s="230"/>
      <c r="H88" s="474"/>
      <c r="I88" s="473"/>
      <c r="J88" s="436"/>
      <c r="K88" s="580"/>
      <c r="L88" s="436"/>
      <c r="M88" s="472" t="s">
        <v>2088</v>
      </c>
      <c r="O88" s="444"/>
    </row>
    <row r="89" spans="1:15" ht="12.75">
      <c r="A89" s="478"/>
      <c r="B89" s="477"/>
      <c r="C89" s="1621" t="s">
        <v>2089</v>
      </c>
      <c r="D89" s="1589"/>
      <c r="E89" s="476">
        <v>88.247</v>
      </c>
      <c r="F89" s="475"/>
      <c r="G89" s="230"/>
      <c r="H89" s="474"/>
      <c r="I89" s="473"/>
      <c r="J89" s="436"/>
      <c r="K89" s="580"/>
      <c r="L89" s="436"/>
      <c r="M89" s="472" t="s">
        <v>2089</v>
      </c>
      <c r="O89" s="444"/>
    </row>
    <row r="90" spans="1:15" ht="12.75">
      <c r="A90" s="478"/>
      <c r="B90" s="477"/>
      <c r="C90" s="1621" t="s">
        <v>2090</v>
      </c>
      <c r="D90" s="1589"/>
      <c r="E90" s="476">
        <v>4.92</v>
      </c>
      <c r="F90" s="475"/>
      <c r="G90" s="230"/>
      <c r="H90" s="474"/>
      <c r="I90" s="473"/>
      <c r="J90" s="436"/>
      <c r="K90" s="580"/>
      <c r="L90" s="436"/>
      <c r="M90" s="472" t="s">
        <v>2090</v>
      </c>
      <c r="O90" s="444"/>
    </row>
    <row r="91" spans="1:15" ht="12.75">
      <c r="A91" s="478"/>
      <c r="B91" s="477"/>
      <c r="C91" s="1621" t="s">
        <v>2091</v>
      </c>
      <c r="D91" s="1589"/>
      <c r="E91" s="476">
        <v>13.571</v>
      </c>
      <c r="F91" s="475"/>
      <c r="G91" s="230"/>
      <c r="H91" s="474"/>
      <c r="I91" s="473"/>
      <c r="J91" s="436"/>
      <c r="K91" s="580"/>
      <c r="L91" s="436"/>
      <c r="M91" s="472" t="s">
        <v>2091</v>
      </c>
      <c r="O91" s="444"/>
    </row>
    <row r="92" spans="1:15" ht="12.75">
      <c r="A92" s="478"/>
      <c r="B92" s="477"/>
      <c r="C92" s="1621" t="s">
        <v>2092</v>
      </c>
      <c r="D92" s="1589"/>
      <c r="E92" s="476">
        <v>7.344</v>
      </c>
      <c r="F92" s="475"/>
      <c r="G92" s="230"/>
      <c r="H92" s="474"/>
      <c r="I92" s="473"/>
      <c r="J92" s="436"/>
      <c r="K92" s="580"/>
      <c r="L92" s="436"/>
      <c r="M92" s="472" t="s">
        <v>2092</v>
      </c>
      <c r="O92" s="444"/>
    </row>
    <row r="93" spans="1:15" ht="12.75">
      <c r="A93" s="478"/>
      <c r="B93" s="477"/>
      <c r="C93" s="1621" t="s">
        <v>2093</v>
      </c>
      <c r="D93" s="1589"/>
      <c r="E93" s="476">
        <v>0</v>
      </c>
      <c r="F93" s="475"/>
      <c r="G93" s="230"/>
      <c r="H93" s="474"/>
      <c r="I93" s="473"/>
      <c r="J93" s="436"/>
      <c r="K93" s="580"/>
      <c r="L93" s="436"/>
      <c r="M93" s="472" t="s">
        <v>2093</v>
      </c>
      <c r="O93" s="444"/>
    </row>
    <row r="94" spans="1:15" ht="12.75">
      <c r="A94" s="478"/>
      <c r="B94" s="477"/>
      <c r="C94" s="1621" t="s">
        <v>2094</v>
      </c>
      <c r="D94" s="1589"/>
      <c r="E94" s="476">
        <v>157.08</v>
      </c>
      <c r="F94" s="475"/>
      <c r="G94" s="230"/>
      <c r="H94" s="474"/>
      <c r="I94" s="473"/>
      <c r="J94" s="436"/>
      <c r="K94" s="580"/>
      <c r="L94" s="436"/>
      <c r="M94" s="472" t="s">
        <v>2094</v>
      </c>
      <c r="O94" s="444"/>
    </row>
    <row r="95" spans="1:15" ht="12.75">
      <c r="A95" s="478"/>
      <c r="B95" s="477"/>
      <c r="C95" s="1621" t="s">
        <v>2095</v>
      </c>
      <c r="D95" s="1589"/>
      <c r="E95" s="476">
        <v>45.365</v>
      </c>
      <c r="F95" s="475"/>
      <c r="G95" s="230"/>
      <c r="H95" s="474"/>
      <c r="I95" s="473"/>
      <c r="J95" s="436"/>
      <c r="K95" s="580"/>
      <c r="L95" s="436"/>
      <c r="M95" s="472" t="s">
        <v>2095</v>
      </c>
      <c r="O95" s="444"/>
    </row>
    <row r="96" spans="1:15" ht="12.75">
      <c r="A96" s="478"/>
      <c r="B96" s="477"/>
      <c r="C96" s="1621" t="s">
        <v>2096</v>
      </c>
      <c r="D96" s="1589"/>
      <c r="E96" s="476">
        <v>38</v>
      </c>
      <c r="F96" s="475"/>
      <c r="G96" s="230"/>
      <c r="H96" s="474"/>
      <c r="I96" s="473"/>
      <c r="J96" s="436"/>
      <c r="K96" s="580"/>
      <c r="L96" s="436"/>
      <c r="M96" s="472" t="s">
        <v>2096</v>
      </c>
      <c r="O96" s="444"/>
    </row>
    <row r="97" spans="1:15" ht="12.75">
      <c r="A97" s="478"/>
      <c r="B97" s="477"/>
      <c r="C97" s="1621" t="s">
        <v>2097</v>
      </c>
      <c r="D97" s="1589"/>
      <c r="E97" s="476">
        <v>7.035</v>
      </c>
      <c r="F97" s="475"/>
      <c r="G97" s="230"/>
      <c r="H97" s="474"/>
      <c r="I97" s="473"/>
      <c r="J97" s="436"/>
      <c r="K97" s="580"/>
      <c r="L97" s="436"/>
      <c r="M97" s="472" t="s">
        <v>2097</v>
      </c>
      <c r="O97" s="444"/>
    </row>
    <row r="98" spans="1:15" ht="12.75">
      <c r="A98" s="478"/>
      <c r="B98" s="477"/>
      <c r="C98" s="1621" t="s">
        <v>2098</v>
      </c>
      <c r="D98" s="1589"/>
      <c r="E98" s="476">
        <v>7.236</v>
      </c>
      <c r="F98" s="475"/>
      <c r="G98" s="230"/>
      <c r="H98" s="474"/>
      <c r="I98" s="473"/>
      <c r="J98" s="436"/>
      <c r="K98" s="580"/>
      <c r="L98" s="436"/>
      <c r="M98" s="472" t="s">
        <v>2098</v>
      </c>
      <c r="O98" s="444"/>
    </row>
    <row r="99" spans="1:15" ht="12.75">
      <c r="A99" s="478"/>
      <c r="B99" s="477"/>
      <c r="C99" s="1621" t="s">
        <v>2099</v>
      </c>
      <c r="D99" s="1589"/>
      <c r="E99" s="476">
        <v>6.3</v>
      </c>
      <c r="F99" s="475"/>
      <c r="G99" s="230"/>
      <c r="H99" s="474"/>
      <c r="I99" s="473"/>
      <c r="J99" s="436"/>
      <c r="K99" s="580"/>
      <c r="L99" s="436"/>
      <c r="M99" s="472" t="s">
        <v>2099</v>
      </c>
      <c r="O99" s="444"/>
    </row>
    <row r="100" spans="1:57" ht="12.75">
      <c r="A100" s="453"/>
      <c r="B100" s="452" t="s">
        <v>175</v>
      </c>
      <c r="C100" s="451" t="s">
        <v>616</v>
      </c>
      <c r="D100" s="450"/>
      <c r="E100" s="449"/>
      <c r="F100" s="448"/>
      <c r="G100" s="447">
        <f>SUM(G71:G99)</f>
        <v>0</v>
      </c>
      <c r="H100" s="446"/>
      <c r="I100" s="445">
        <f>SUM(I71:I99)</f>
        <v>6.694017786</v>
      </c>
      <c r="J100" s="568"/>
      <c r="K100" s="576">
        <f>SUM(K71:K99)</f>
        <v>0</v>
      </c>
      <c r="L100" s="436"/>
      <c r="O100" s="444">
        <v>4</v>
      </c>
      <c r="BA100" s="443">
        <f>SUM(BA71:BA99)</f>
        <v>0</v>
      </c>
      <c r="BB100" s="443">
        <f>SUM(BB71:BB99)</f>
        <v>0</v>
      </c>
      <c r="BC100" s="443">
        <f>SUM(BC71:BC99)</f>
        <v>0</v>
      </c>
      <c r="BD100" s="443">
        <f>SUM(BD71:BD99)</f>
        <v>0</v>
      </c>
      <c r="BE100" s="443">
        <f>SUM(BE71:BE99)</f>
        <v>0</v>
      </c>
    </row>
    <row r="101" spans="1:15" ht="12.75">
      <c r="A101" s="471" t="s">
        <v>140</v>
      </c>
      <c r="B101" s="470" t="s">
        <v>617</v>
      </c>
      <c r="C101" s="469" t="s">
        <v>618</v>
      </c>
      <c r="D101" s="468"/>
      <c r="E101" s="467"/>
      <c r="F101" s="467"/>
      <c r="G101" s="466"/>
      <c r="H101" s="465"/>
      <c r="I101" s="464"/>
      <c r="J101" s="568"/>
      <c r="K101" s="569"/>
      <c r="L101" s="436"/>
      <c r="O101" s="444">
        <v>1</v>
      </c>
    </row>
    <row r="102" spans="1:80" ht="12.75">
      <c r="A102" s="461">
        <v>30</v>
      </c>
      <c r="B102" s="460" t="s">
        <v>2104</v>
      </c>
      <c r="C102" s="459" t="s">
        <v>2105</v>
      </c>
      <c r="D102" s="458" t="s">
        <v>231</v>
      </c>
      <c r="E102" s="457">
        <v>60</v>
      </c>
      <c r="F102" s="457">
        <v>0</v>
      </c>
      <c r="G102" s="456">
        <f>E102*F102</f>
        <v>0</v>
      </c>
      <c r="H102" s="455">
        <v>0.00526</v>
      </c>
      <c r="I102" s="454">
        <f>E102*H102</f>
        <v>0.3156</v>
      </c>
      <c r="J102" s="570">
        <v>0</v>
      </c>
      <c r="K102" s="571">
        <f>E102*J102</f>
        <v>0</v>
      </c>
      <c r="L102" s="436"/>
      <c r="O102" s="444">
        <v>2</v>
      </c>
      <c r="AA102" s="434">
        <v>1</v>
      </c>
      <c r="AB102" s="434">
        <v>1</v>
      </c>
      <c r="AC102" s="434">
        <v>1</v>
      </c>
      <c r="AZ102" s="434">
        <v>1</v>
      </c>
      <c r="BA102" s="434">
        <f>IF(AZ102=1,G102,0)</f>
        <v>0</v>
      </c>
      <c r="BB102" s="434">
        <f>IF(AZ102=2,G102,0)</f>
        <v>0</v>
      </c>
      <c r="BC102" s="434">
        <f>IF(AZ102=3,G102,0)</f>
        <v>0</v>
      </c>
      <c r="BD102" s="434">
        <f>IF(AZ102=4,G102,0)</f>
        <v>0</v>
      </c>
      <c r="BE102" s="434">
        <f>IF(AZ102=5,G102,0)</f>
        <v>0</v>
      </c>
      <c r="CA102" s="444">
        <v>1</v>
      </c>
      <c r="CB102" s="444">
        <v>1</v>
      </c>
    </row>
    <row r="103" spans="1:57" ht="12.75">
      <c r="A103" s="453"/>
      <c r="B103" s="452" t="s">
        <v>175</v>
      </c>
      <c r="C103" s="451" t="s">
        <v>638</v>
      </c>
      <c r="D103" s="450"/>
      <c r="E103" s="449"/>
      <c r="F103" s="448"/>
      <c r="G103" s="447">
        <f>SUM(G101:G102)</f>
        <v>0</v>
      </c>
      <c r="H103" s="446"/>
      <c r="I103" s="445">
        <f>SUM(I101:I102)</f>
        <v>0.3156</v>
      </c>
      <c r="J103" s="568"/>
      <c r="K103" s="576">
        <f>SUM(K101:K102)</f>
        <v>0</v>
      </c>
      <c r="L103" s="436"/>
      <c r="O103" s="444">
        <v>4</v>
      </c>
      <c r="BA103" s="443">
        <f>SUM(BA101:BA102)</f>
        <v>0</v>
      </c>
      <c r="BB103" s="443">
        <f>SUM(BB101:BB102)</f>
        <v>0</v>
      </c>
      <c r="BC103" s="443">
        <f>SUM(BC101:BC102)</f>
        <v>0</v>
      </c>
      <c r="BD103" s="443">
        <f>SUM(BD101:BD102)</f>
        <v>0</v>
      </c>
      <c r="BE103" s="443">
        <f>SUM(BE101:BE102)</f>
        <v>0</v>
      </c>
    </row>
    <row r="104" spans="1:15" ht="12.75">
      <c r="A104" s="471" t="s">
        <v>140</v>
      </c>
      <c r="B104" s="470" t="s">
        <v>639</v>
      </c>
      <c r="C104" s="469" t="s">
        <v>640</v>
      </c>
      <c r="D104" s="468"/>
      <c r="E104" s="467"/>
      <c r="F104" s="467"/>
      <c r="G104" s="466"/>
      <c r="H104" s="465"/>
      <c r="I104" s="464"/>
      <c r="J104" s="568"/>
      <c r="K104" s="569"/>
      <c r="L104" s="436"/>
      <c r="O104" s="444">
        <v>1</v>
      </c>
    </row>
    <row r="105" spans="1:80" ht="20.4">
      <c r="A105" s="461">
        <v>31</v>
      </c>
      <c r="B105" s="460" t="s">
        <v>2106</v>
      </c>
      <c r="C105" s="459" t="s">
        <v>2107</v>
      </c>
      <c r="D105" s="458" t="s">
        <v>145</v>
      </c>
      <c r="E105" s="457">
        <v>3.15</v>
      </c>
      <c r="F105" s="457">
        <v>0</v>
      </c>
      <c r="G105" s="456">
        <f>E105*F105</f>
        <v>0</v>
      </c>
      <c r="H105" s="455">
        <v>0.01785</v>
      </c>
      <c r="I105" s="454">
        <f>E105*H105</f>
        <v>0.0562275</v>
      </c>
      <c r="J105" s="570">
        <v>0</v>
      </c>
      <c r="K105" s="571">
        <f>E105*J105</f>
        <v>0</v>
      </c>
      <c r="L105" s="436"/>
      <c r="O105" s="444">
        <v>2</v>
      </c>
      <c r="AA105" s="434">
        <v>1</v>
      </c>
      <c r="AB105" s="434">
        <v>1</v>
      </c>
      <c r="AC105" s="434">
        <v>1</v>
      </c>
      <c r="AZ105" s="434">
        <v>1</v>
      </c>
      <c r="BA105" s="434">
        <f>IF(AZ105=1,G105,0)</f>
        <v>0</v>
      </c>
      <c r="BB105" s="434">
        <f>IF(AZ105=2,G105,0)</f>
        <v>0</v>
      </c>
      <c r="BC105" s="434">
        <f>IF(AZ105=3,G105,0)</f>
        <v>0</v>
      </c>
      <c r="BD105" s="434">
        <f>IF(AZ105=4,G105,0)</f>
        <v>0</v>
      </c>
      <c r="BE105" s="434">
        <f>IF(AZ105=5,G105,0)</f>
        <v>0</v>
      </c>
      <c r="CA105" s="444">
        <v>1</v>
      </c>
      <c r="CB105" s="444">
        <v>1</v>
      </c>
    </row>
    <row r="106" spans="1:15" ht="12.75">
      <c r="A106" s="478"/>
      <c r="B106" s="477"/>
      <c r="C106" s="1621" t="s">
        <v>2108</v>
      </c>
      <c r="D106" s="1589"/>
      <c r="E106" s="476">
        <v>3.15</v>
      </c>
      <c r="F106" s="475"/>
      <c r="G106" s="230"/>
      <c r="H106" s="474"/>
      <c r="I106" s="473"/>
      <c r="J106" s="569"/>
      <c r="K106" s="572"/>
      <c r="L106" s="436"/>
      <c r="M106" s="472" t="s">
        <v>2108</v>
      </c>
      <c r="O106" s="444"/>
    </row>
    <row r="107" spans="1:57" ht="12.75">
      <c r="A107" s="453"/>
      <c r="B107" s="452" t="s">
        <v>175</v>
      </c>
      <c r="C107" s="451" t="s">
        <v>646</v>
      </c>
      <c r="D107" s="450"/>
      <c r="E107" s="449"/>
      <c r="F107" s="448"/>
      <c r="G107" s="447">
        <f>SUM(G104:G106)</f>
        <v>0</v>
      </c>
      <c r="H107" s="446"/>
      <c r="I107" s="445">
        <f>SUM(I104:I106)</f>
        <v>0.0562275</v>
      </c>
      <c r="J107" s="568"/>
      <c r="K107" s="576">
        <f>SUM(K104:K106)</f>
        <v>0</v>
      </c>
      <c r="L107" s="436"/>
      <c r="O107" s="444">
        <v>4</v>
      </c>
      <c r="BA107" s="443">
        <f>SUM(BA104:BA106)</f>
        <v>0</v>
      </c>
      <c r="BB107" s="443">
        <f>SUM(BB104:BB106)</f>
        <v>0</v>
      </c>
      <c r="BC107" s="443">
        <f>SUM(BC104:BC106)</f>
        <v>0</v>
      </c>
      <c r="BD107" s="443">
        <f>SUM(BD104:BD106)</f>
        <v>0</v>
      </c>
      <c r="BE107" s="443">
        <f>SUM(BE104:BE106)</f>
        <v>0</v>
      </c>
    </row>
    <row r="108" spans="1:15" ht="12.75">
      <c r="A108" s="471" t="s">
        <v>140</v>
      </c>
      <c r="B108" s="470" t="s">
        <v>647</v>
      </c>
      <c r="C108" s="469" t="s">
        <v>648</v>
      </c>
      <c r="D108" s="468"/>
      <c r="E108" s="467"/>
      <c r="F108" s="467"/>
      <c r="G108" s="466"/>
      <c r="H108" s="465"/>
      <c r="I108" s="464"/>
      <c r="J108" s="568"/>
      <c r="K108" s="569"/>
      <c r="L108" s="436"/>
      <c r="O108" s="444">
        <v>1</v>
      </c>
    </row>
    <row r="109" spans="1:80" ht="20.4">
      <c r="A109" s="461">
        <v>32</v>
      </c>
      <c r="B109" s="460" t="s">
        <v>2109</v>
      </c>
      <c r="C109" s="459" t="s">
        <v>2110</v>
      </c>
      <c r="D109" s="458" t="s">
        <v>196</v>
      </c>
      <c r="E109" s="457">
        <v>1</v>
      </c>
      <c r="F109" s="457">
        <v>0</v>
      </c>
      <c r="G109" s="456">
        <f>E109*F109</f>
        <v>0</v>
      </c>
      <c r="H109" s="455">
        <v>0.06401</v>
      </c>
      <c r="I109" s="454">
        <f>E109*H109</f>
        <v>0.06401</v>
      </c>
      <c r="J109" s="570">
        <v>0</v>
      </c>
      <c r="K109" s="571">
        <f>E109*J109</f>
        <v>0</v>
      </c>
      <c r="L109" s="436"/>
      <c r="O109" s="444">
        <v>2</v>
      </c>
      <c r="AA109" s="434">
        <v>1</v>
      </c>
      <c r="AB109" s="434">
        <v>1</v>
      </c>
      <c r="AC109" s="434">
        <v>1</v>
      </c>
      <c r="AZ109" s="434">
        <v>1</v>
      </c>
      <c r="BA109" s="434">
        <f>IF(AZ109=1,G109,0)</f>
        <v>0</v>
      </c>
      <c r="BB109" s="434">
        <f>IF(AZ109=2,G109,0)</f>
        <v>0</v>
      </c>
      <c r="BC109" s="434">
        <f>IF(AZ109=3,G109,0)</f>
        <v>0</v>
      </c>
      <c r="BD109" s="434">
        <f>IF(AZ109=4,G109,0)</f>
        <v>0</v>
      </c>
      <c r="BE109" s="434">
        <f>IF(AZ109=5,G109,0)</f>
        <v>0</v>
      </c>
      <c r="CA109" s="444">
        <v>1</v>
      </c>
      <c r="CB109" s="444">
        <v>1</v>
      </c>
    </row>
    <row r="110" spans="1:57" ht="12.75">
      <c r="A110" s="453"/>
      <c r="B110" s="452" t="s">
        <v>175</v>
      </c>
      <c r="C110" s="451" t="s">
        <v>653</v>
      </c>
      <c r="D110" s="450"/>
      <c r="E110" s="449"/>
      <c r="F110" s="448"/>
      <c r="G110" s="447">
        <f>SUM(G108:G109)</f>
        <v>0</v>
      </c>
      <c r="H110" s="446"/>
      <c r="I110" s="445">
        <f>SUM(I108:I109)</f>
        <v>0.06401</v>
      </c>
      <c r="J110" s="569"/>
      <c r="K110" s="576">
        <f>SUM(K108:K109)</f>
        <v>0</v>
      </c>
      <c r="L110" s="436"/>
      <c r="O110" s="444">
        <v>4</v>
      </c>
      <c r="BA110" s="443">
        <f>SUM(BA108:BA109)</f>
        <v>0</v>
      </c>
      <c r="BB110" s="443">
        <f>SUM(BB108:BB109)</f>
        <v>0</v>
      </c>
      <c r="BC110" s="443">
        <f>SUM(BC108:BC109)</f>
        <v>0</v>
      </c>
      <c r="BD110" s="443">
        <f>SUM(BD108:BD109)</f>
        <v>0</v>
      </c>
      <c r="BE110" s="443">
        <f>SUM(BE108:BE109)</f>
        <v>0</v>
      </c>
    </row>
    <row r="111" spans="1:15" ht="12.75">
      <c r="A111" s="471" t="s">
        <v>140</v>
      </c>
      <c r="B111" s="470" t="s">
        <v>213</v>
      </c>
      <c r="C111" s="469" t="s">
        <v>214</v>
      </c>
      <c r="D111" s="468"/>
      <c r="E111" s="467"/>
      <c r="F111" s="467"/>
      <c r="G111" s="466"/>
      <c r="H111" s="465"/>
      <c r="I111" s="464"/>
      <c r="J111" s="568"/>
      <c r="K111" s="569"/>
      <c r="L111" s="436"/>
      <c r="O111" s="444">
        <v>1</v>
      </c>
    </row>
    <row r="112" spans="1:80" ht="12.75">
      <c r="A112" s="461">
        <v>33</v>
      </c>
      <c r="B112" s="460" t="s">
        <v>215</v>
      </c>
      <c r="C112" s="459" t="s">
        <v>216</v>
      </c>
      <c r="D112" s="458" t="s">
        <v>154</v>
      </c>
      <c r="E112" s="457">
        <v>3.79</v>
      </c>
      <c r="F112" s="457">
        <v>0</v>
      </c>
      <c r="G112" s="456">
        <f>E112*F112</f>
        <v>0</v>
      </c>
      <c r="H112" s="455">
        <v>0</v>
      </c>
      <c r="I112" s="454">
        <f>E112*H112</f>
        <v>0</v>
      </c>
      <c r="J112" s="570"/>
      <c r="K112" s="571"/>
      <c r="L112" s="436"/>
      <c r="O112" s="444">
        <v>2</v>
      </c>
      <c r="AA112" s="434">
        <v>1</v>
      </c>
      <c r="AB112" s="434">
        <v>1</v>
      </c>
      <c r="AC112" s="434">
        <v>1</v>
      </c>
      <c r="AZ112" s="434">
        <v>1</v>
      </c>
      <c r="BA112" s="434">
        <f>IF(AZ112=1,G112,0)</f>
        <v>0</v>
      </c>
      <c r="BB112" s="434">
        <f>IF(AZ112=2,G112,0)</f>
        <v>0</v>
      </c>
      <c r="BC112" s="434">
        <f>IF(AZ112=3,G112,0)</f>
        <v>0</v>
      </c>
      <c r="BD112" s="434">
        <f>IF(AZ112=4,G112,0)</f>
        <v>0</v>
      </c>
      <c r="BE112" s="434">
        <f>IF(AZ112=5,G112,0)</f>
        <v>0</v>
      </c>
      <c r="CA112" s="444">
        <v>1</v>
      </c>
      <c r="CB112" s="444">
        <v>1</v>
      </c>
    </row>
    <row r="113" spans="1:15" ht="12.75">
      <c r="A113" s="478"/>
      <c r="B113" s="477"/>
      <c r="C113" s="1621" t="s">
        <v>2111</v>
      </c>
      <c r="D113" s="1589"/>
      <c r="E113" s="476">
        <v>3.034</v>
      </c>
      <c r="F113" s="475"/>
      <c r="G113" s="230"/>
      <c r="H113" s="474"/>
      <c r="I113" s="473"/>
      <c r="J113" s="569"/>
      <c r="K113" s="572"/>
      <c r="L113" s="436"/>
      <c r="M113" s="472" t="s">
        <v>2111</v>
      </c>
      <c r="O113" s="444"/>
    </row>
    <row r="114" spans="1:15" ht="12.75">
      <c r="A114" s="478"/>
      <c r="B114" s="477"/>
      <c r="C114" s="1621" t="s">
        <v>2112</v>
      </c>
      <c r="D114" s="1589"/>
      <c r="E114" s="476">
        <v>0.756</v>
      </c>
      <c r="F114" s="475"/>
      <c r="G114" s="230"/>
      <c r="H114" s="474"/>
      <c r="I114" s="473"/>
      <c r="J114" s="569"/>
      <c r="K114" s="572"/>
      <c r="L114" s="436"/>
      <c r="M114" s="472" t="s">
        <v>2112</v>
      </c>
      <c r="O114" s="444"/>
    </row>
    <row r="115" spans="1:80" ht="12.75">
      <c r="A115" s="461">
        <v>34</v>
      </c>
      <c r="B115" s="460" t="s">
        <v>2113</v>
      </c>
      <c r="C115" s="459" t="s">
        <v>2114</v>
      </c>
      <c r="D115" s="458" t="s">
        <v>154</v>
      </c>
      <c r="E115" s="457">
        <v>0.285</v>
      </c>
      <c r="F115" s="457">
        <v>0</v>
      </c>
      <c r="G115" s="456">
        <f>E115*F115</f>
        <v>0</v>
      </c>
      <c r="H115" s="455">
        <v>0.00147</v>
      </c>
      <c r="I115" s="454">
        <f>E115*H115</f>
        <v>0.00041894999999999996</v>
      </c>
      <c r="J115" s="570"/>
      <c r="K115" s="571">
        <f>E115*J115</f>
        <v>0</v>
      </c>
      <c r="L115" s="436"/>
      <c r="O115" s="444">
        <v>2</v>
      </c>
      <c r="AA115" s="434">
        <v>1</v>
      </c>
      <c r="AB115" s="434">
        <v>1</v>
      </c>
      <c r="AC115" s="434">
        <v>1</v>
      </c>
      <c r="AZ115" s="434">
        <v>1</v>
      </c>
      <c r="BA115" s="434">
        <f>IF(AZ115=1,G115,0)</f>
        <v>0</v>
      </c>
      <c r="BB115" s="434">
        <f>IF(AZ115=2,G115,0)</f>
        <v>0</v>
      </c>
      <c r="BC115" s="434">
        <f>IF(AZ115=3,G115,0)</f>
        <v>0</v>
      </c>
      <c r="BD115" s="434">
        <f>IF(AZ115=4,G115,0)</f>
        <v>0</v>
      </c>
      <c r="BE115" s="434">
        <f>IF(AZ115=5,G115,0)</f>
        <v>0</v>
      </c>
      <c r="CA115" s="444">
        <v>1</v>
      </c>
      <c r="CB115" s="444">
        <v>1</v>
      </c>
    </row>
    <row r="116" spans="1:15" ht="12.75">
      <c r="A116" s="478"/>
      <c r="B116" s="477"/>
      <c r="C116" s="1621" t="s">
        <v>2115</v>
      </c>
      <c r="D116" s="1589"/>
      <c r="E116" s="476">
        <v>0.285</v>
      </c>
      <c r="F116" s="475"/>
      <c r="G116" s="230"/>
      <c r="H116" s="474"/>
      <c r="I116" s="473"/>
      <c r="J116" s="568"/>
      <c r="K116" s="572"/>
      <c r="L116" s="436"/>
      <c r="M116" s="472" t="s">
        <v>2115</v>
      </c>
      <c r="O116" s="444"/>
    </row>
    <row r="117" spans="1:57" ht="12.75">
      <c r="A117" s="453"/>
      <c r="B117" s="452" t="s">
        <v>175</v>
      </c>
      <c r="C117" s="451" t="s">
        <v>233</v>
      </c>
      <c r="D117" s="450"/>
      <c r="E117" s="449"/>
      <c r="F117" s="448"/>
      <c r="G117" s="447">
        <f>SUM(G111:G116)</f>
        <v>0</v>
      </c>
      <c r="H117" s="446"/>
      <c r="I117" s="445">
        <f>SUM(I111:I116)</f>
        <v>0.00041894999999999996</v>
      </c>
      <c r="J117" s="568"/>
      <c r="K117" s="576">
        <f>SUM(K111:K116)</f>
        <v>0</v>
      </c>
      <c r="L117" s="436"/>
      <c r="O117" s="444">
        <v>4</v>
      </c>
      <c r="BA117" s="443">
        <f>SUM(BA111:BA116)</f>
        <v>0</v>
      </c>
      <c r="BB117" s="443">
        <f>SUM(BB111:BB116)</f>
        <v>0</v>
      </c>
      <c r="BC117" s="443">
        <f>SUM(BC111:BC116)</f>
        <v>0</v>
      </c>
      <c r="BD117" s="443">
        <f>SUM(BD111:BD116)</f>
        <v>0</v>
      </c>
      <c r="BE117" s="443">
        <f>SUM(BE111:BE116)</f>
        <v>0</v>
      </c>
    </row>
    <row r="118" spans="1:15" ht="12.75">
      <c r="A118" s="471" t="s">
        <v>140</v>
      </c>
      <c r="B118" s="470" t="s">
        <v>2116</v>
      </c>
      <c r="C118" s="469" t="s">
        <v>2117</v>
      </c>
      <c r="D118" s="468"/>
      <c r="E118" s="467"/>
      <c r="F118" s="467"/>
      <c r="G118" s="466"/>
      <c r="H118" s="465"/>
      <c r="I118" s="464"/>
      <c r="J118" s="568"/>
      <c r="K118" s="569"/>
      <c r="L118" s="436"/>
      <c r="O118" s="444">
        <v>1</v>
      </c>
    </row>
    <row r="119" spans="1:80" ht="12.75">
      <c r="A119" s="461">
        <v>35</v>
      </c>
      <c r="B119" s="460" t="s">
        <v>2118</v>
      </c>
      <c r="C119" s="459" t="s">
        <v>2119</v>
      </c>
      <c r="D119" s="458" t="s">
        <v>231</v>
      </c>
      <c r="E119" s="457">
        <v>1.8</v>
      </c>
      <c r="F119" s="457">
        <v>0</v>
      </c>
      <c r="G119" s="456">
        <f>E119*F119</f>
        <v>0</v>
      </c>
      <c r="H119" s="455">
        <v>0</v>
      </c>
      <c r="I119" s="454">
        <f>E119*H119</f>
        <v>0</v>
      </c>
      <c r="J119" s="570"/>
      <c r="K119" s="571">
        <f>E119*J119</f>
        <v>0</v>
      </c>
      <c r="L119" s="436"/>
      <c r="O119" s="444">
        <v>2</v>
      </c>
      <c r="AA119" s="434">
        <v>1</v>
      </c>
      <c r="AB119" s="434">
        <v>1</v>
      </c>
      <c r="AC119" s="434">
        <v>1</v>
      </c>
      <c r="AZ119" s="434">
        <v>1</v>
      </c>
      <c r="BA119" s="434">
        <f>IF(AZ119=1,G119,0)</f>
        <v>0</v>
      </c>
      <c r="BB119" s="434">
        <f>IF(AZ119=2,G119,0)</f>
        <v>0</v>
      </c>
      <c r="BC119" s="434">
        <f>IF(AZ119=3,G119,0)</f>
        <v>0</v>
      </c>
      <c r="BD119" s="434">
        <f>IF(AZ119=4,G119,0)</f>
        <v>0</v>
      </c>
      <c r="BE119" s="434">
        <f>IF(AZ119=5,G119,0)</f>
        <v>0</v>
      </c>
      <c r="CA119" s="444">
        <v>1</v>
      </c>
      <c r="CB119" s="444">
        <v>1</v>
      </c>
    </row>
    <row r="120" spans="1:15" ht="12.75">
      <c r="A120" s="478"/>
      <c r="B120" s="477"/>
      <c r="C120" s="1621" t="s">
        <v>2120</v>
      </c>
      <c r="D120" s="1589"/>
      <c r="E120" s="476">
        <v>1.8</v>
      </c>
      <c r="F120" s="475"/>
      <c r="G120" s="230"/>
      <c r="H120" s="474"/>
      <c r="I120" s="473"/>
      <c r="J120" s="569"/>
      <c r="K120" s="572"/>
      <c r="L120" s="436"/>
      <c r="M120" s="472" t="s">
        <v>2120</v>
      </c>
      <c r="O120" s="444"/>
    </row>
    <row r="121" spans="1:57" ht="12.75">
      <c r="A121" s="453"/>
      <c r="B121" s="452" t="s">
        <v>175</v>
      </c>
      <c r="C121" s="451" t="s">
        <v>2121</v>
      </c>
      <c r="D121" s="450"/>
      <c r="E121" s="449"/>
      <c r="F121" s="448"/>
      <c r="G121" s="447">
        <f>SUM(G118:G120)</f>
        <v>0</v>
      </c>
      <c r="H121" s="446"/>
      <c r="I121" s="445">
        <f>SUM(I118:I120)</f>
        <v>0</v>
      </c>
      <c r="J121" s="568"/>
      <c r="K121" s="576">
        <f>SUM(K118:K120)</f>
        <v>0</v>
      </c>
      <c r="L121" s="436"/>
      <c r="O121" s="444">
        <v>4</v>
      </c>
      <c r="BA121" s="443">
        <f>SUM(BA118:BA120)</f>
        <v>0</v>
      </c>
      <c r="BB121" s="443">
        <f>SUM(BB118:BB120)</f>
        <v>0</v>
      </c>
      <c r="BC121" s="443">
        <f>SUM(BC118:BC120)</f>
        <v>0</v>
      </c>
      <c r="BD121" s="443">
        <f>SUM(BD118:BD120)</f>
        <v>0</v>
      </c>
      <c r="BE121" s="443">
        <f>SUM(BE118:BE120)</f>
        <v>0</v>
      </c>
    </row>
    <row r="122" spans="1:15" ht="12.75">
      <c r="A122" s="471" t="s">
        <v>140</v>
      </c>
      <c r="B122" s="470" t="s">
        <v>234</v>
      </c>
      <c r="C122" s="469" t="s">
        <v>235</v>
      </c>
      <c r="D122" s="468"/>
      <c r="E122" s="467"/>
      <c r="F122" s="467"/>
      <c r="G122" s="466"/>
      <c r="H122" s="465"/>
      <c r="I122" s="464"/>
      <c r="J122" s="568"/>
      <c r="K122" s="569"/>
      <c r="L122" s="436"/>
      <c r="O122" s="444">
        <v>1</v>
      </c>
    </row>
    <row r="123" spans="1:80" ht="12.75">
      <c r="A123" s="461">
        <v>36</v>
      </c>
      <c r="B123" s="460" t="s">
        <v>2122</v>
      </c>
      <c r="C123" s="459" t="s">
        <v>2123</v>
      </c>
      <c r="D123" s="458" t="s">
        <v>166</v>
      </c>
      <c r="E123" s="457">
        <v>38.319927236</v>
      </c>
      <c r="F123" s="457">
        <v>0</v>
      </c>
      <c r="G123" s="456">
        <f>E123*F123</f>
        <v>0</v>
      </c>
      <c r="H123" s="455">
        <v>0</v>
      </c>
      <c r="I123" s="454">
        <f>E123*H123</f>
        <v>0</v>
      </c>
      <c r="J123" s="570"/>
      <c r="K123" s="571">
        <f>E123*J123</f>
        <v>0</v>
      </c>
      <c r="L123" s="436"/>
      <c r="O123" s="444">
        <v>2</v>
      </c>
      <c r="AA123" s="434">
        <v>7</v>
      </c>
      <c r="AB123" s="434">
        <v>1</v>
      </c>
      <c r="AC123" s="434">
        <v>2</v>
      </c>
      <c r="AZ123" s="434">
        <v>1</v>
      </c>
      <c r="BA123" s="434">
        <f>IF(AZ123=1,G123,0)</f>
        <v>0</v>
      </c>
      <c r="BB123" s="434">
        <f>IF(AZ123=2,G123,0)</f>
        <v>0</v>
      </c>
      <c r="BC123" s="434">
        <f>IF(AZ123=3,G123,0)</f>
        <v>0</v>
      </c>
      <c r="BD123" s="434">
        <f>IF(AZ123=4,G123,0)</f>
        <v>0</v>
      </c>
      <c r="BE123" s="434">
        <f>IF(AZ123=5,G123,0)</f>
        <v>0</v>
      </c>
      <c r="CA123" s="444">
        <v>7</v>
      </c>
      <c r="CB123" s="444">
        <v>1</v>
      </c>
    </row>
    <row r="124" spans="1:57" ht="12.75">
      <c r="A124" s="453"/>
      <c r="B124" s="452" t="s">
        <v>175</v>
      </c>
      <c r="C124" s="451" t="s">
        <v>238</v>
      </c>
      <c r="D124" s="450"/>
      <c r="E124" s="449"/>
      <c r="F124" s="448"/>
      <c r="G124" s="447">
        <f>SUM(G122:G123)</f>
        <v>0</v>
      </c>
      <c r="H124" s="446"/>
      <c r="I124" s="445">
        <f>SUM(I122:I123)</f>
        <v>0</v>
      </c>
      <c r="J124" s="568"/>
      <c r="K124" s="576">
        <f>SUM(K122:K123)</f>
        <v>0</v>
      </c>
      <c r="L124" s="436"/>
      <c r="O124" s="444">
        <v>4</v>
      </c>
      <c r="BA124" s="443">
        <f>SUM(BA122:BA123)</f>
        <v>0</v>
      </c>
      <c r="BB124" s="443">
        <f>SUM(BB122:BB123)</f>
        <v>0</v>
      </c>
      <c r="BC124" s="443">
        <f>SUM(BC122:BC123)</f>
        <v>0</v>
      </c>
      <c r="BD124" s="443">
        <f>SUM(BD122:BD123)</f>
        <v>0</v>
      </c>
      <c r="BE124" s="443">
        <f>SUM(BE122:BE123)</f>
        <v>0</v>
      </c>
    </row>
    <row r="125" spans="1:15" ht="12.75">
      <c r="A125" s="471" t="s">
        <v>140</v>
      </c>
      <c r="B125" s="470" t="s">
        <v>667</v>
      </c>
      <c r="C125" s="469" t="s">
        <v>668</v>
      </c>
      <c r="D125" s="468"/>
      <c r="E125" s="467"/>
      <c r="F125" s="467"/>
      <c r="G125" s="466"/>
      <c r="H125" s="465"/>
      <c r="I125" s="464"/>
      <c r="J125" s="568"/>
      <c r="K125" s="569"/>
      <c r="L125" s="436"/>
      <c r="O125" s="444">
        <v>1</v>
      </c>
    </row>
    <row r="126" spans="1:80" ht="20.4">
      <c r="A126" s="461">
        <v>37</v>
      </c>
      <c r="B126" s="460" t="s">
        <v>2124</v>
      </c>
      <c r="C126" s="459" t="s">
        <v>2125</v>
      </c>
      <c r="D126" s="458" t="s">
        <v>145</v>
      </c>
      <c r="E126" s="457">
        <v>448.3602</v>
      </c>
      <c r="F126" s="457">
        <v>0</v>
      </c>
      <c r="G126" s="456">
        <f>E126*F126</f>
        <v>0</v>
      </c>
      <c r="H126" s="455">
        <v>0.00306</v>
      </c>
      <c r="I126" s="454">
        <f>E126*H126</f>
        <v>1.371982212</v>
      </c>
      <c r="J126" s="570">
        <v>0</v>
      </c>
      <c r="K126" s="571">
        <f>E126*J126</f>
        <v>0</v>
      </c>
      <c r="L126" s="436"/>
      <c r="O126" s="444">
        <v>2</v>
      </c>
      <c r="AA126" s="434">
        <v>1</v>
      </c>
      <c r="AB126" s="434">
        <v>7</v>
      </c>
      <c r="AC126" s="434">
        <v>7</v>
      </c>
      <c r="AZ126" s="434">
        <v>2</v>
      </c>
      <c r="BA126" s="434">
        <f>IF(AZ126=1,G126,0)</f>
        <v>0</v>
      </c>
      <c r="BB126" s="434">
        <f>IF(AZ126=2,G126,0)</f>
        <v>0</v>
      </c>
      <c r="BC126" s="434">
        <f>IF(AZ126=3,G126,0)</f>
        <v>0</v>
      </c>
      <c r="BD126" s="434">
        <f>IF(AZ126=4,G126,0)</f>
        <v>0</v>
      </c>
      <c r="BE126" s="434">
        <f>IF(AZ126=5,G126,0)</f>
        <v>0</v>
      </c>
      <c r="CA126" s="444">
        <v>1</v>
      </c>
      <c r="CB126" s="444">
        <v>7</v>
      </c>
    </row>
    <row r="127" spans="1:15" ht="12.75">
      <c r="A127" s="478"/>
      <c r="B127" s="477"/>
      <c r="C127" s="1621" t="s">
        <v>2087</v>
      </c>
      <c r="D127" s="1589"/>
      <c r="E127" s="476">
        <v>0</v>
      </c>
      <c r="F127" s="475"/>
      <c r="G127" s="230"/>
      <c r="H127" s="474"/>
      <c r="I127" s="473"/>
      <c r="J127" s="569"/>
      <c r="K127" s="572"/>
      <c r="L127" s="436"/>
      <c r="M127" s="472" t="s">
        <v>2087</v>
      </c>
      <c r="O127" s="444"/>
    </row>
    <row r="128" spans="1:15" ht="12.75">
      <c r="A128" s="478"/>
      <c r="B128" s="477"/>
      <c r="C128" s="1621" t="s">
        <v>2088</v>
      </c>
      <c r="D128" s="1589"/>
      <c r="E128" s="476">
        <v>73.2622</v>
      </c>
      <c r="F128" s="475"/>
      <c r="G128" s="230"/>
      <c r="H128" s="474"/>
      <c r="I128" s="473"/>
      <c r="J128" s="569"/>
      <c r="K128" s="572"/>
      <c r="L128" s="436"/>
      <c r="M128" s="472" t="s">
        <v>2088</v>
      </c>
      <c r="O128" s="444"/>
    </row>
    <row r="129" spans="1:15" ht="12.75">
      <c r="A129" s="478"/>
      <c r="B129" s="477"/>
      <c r="C129" s="1621" t="s">
        <v>2089</v>
      </c>
      <c r="D129" s="1589"/>
      <c r="E129" s="476">
        <v>88.247</v>
      </c>
      <c r="F129" s="475"/>
      <c r="G129" s="230"/>
      <c r="H129" s="474"/>
      <c r="I129" s="473"/>
      <c r="J129" s="569"/>
      <c r="K129" s="572"/>
      <c r="L129" s="436"/>
      <c r="M129" s="472" t="s">
        <v>2089</v>
      </c>
      <c r="O129" s="444"/>
    </row>
    <row r="130" spans="1:15" ht="12.75">
      <c r="A130" s="478"/>
      <c r="B130" s="477"/>
      <c r="C130" s="1621" t="s">
        <v>2090</v>
      </c>
      <c r="D130" s="1589"/>
      <c r="E130" s="476">
        <v>4.92</v>
      </c>
      <c r="F130" s="475"/>
      <c r="G130" s="230"/>
      <c r="H130" s="474"/>
      <c r="I130" s="473"/>
      <c r="J130" s="569"/>
      <c r="K130" s="572"/>
      <c r="L130" s="436"/>
      <c r="M130" s="472" t="s">
        <v>2090</v>
      </c>
      <c r="O130" s="444"/>
    </row>
    <row r="131" spans="1:15" ht="12.75">
      <c r="A131" s="478"/>
      <c r="B131" s="477"/>
      <c r="C131" s="1621" t="s">
        <v>2091</v>
      </c>
      <c r="D131" s="1589"/>
      <c r="E131" s="476">
        <v>13.571</v>
      </c>
      <c r="F131" s="475"/>
      <c r="G131" s="230"/>
      <c r="H131" s="474"/>
      <c r="I131" s="473"/>
      <c r="J131" s="569"/>
      <c r="K131" s="572"/>
      <c r="L131" s="436"/>
      <c r="M131" s="472" t="s">
        <v>2091</v>
      </c>
      <c r="O131" s="444"/>
    </row>
    <row r="132" spans="1:15" ht="12.75">
      <c r="A132" s="478"/>
      <c r="B132" s="477"/>
      <c r="C132" s="1621" t="s">
        <v>2092</v>
      </c>
      <c r="D132" s="1589"/>
      <c r="E132" s="476">
        <v>7.344</v>
      </c>
      <c r="F132" s="475"/>
      <c r="G132" s="230"/>
      <c r="H132" s="474"/>
      <c r="I132" s="473"/>
      <c r="J132" s="569"/>
      <c r="K132" s="572"/>
      <c r="L132" s="436"/>
      <c r="M132" s="472" t="s">
        <v>2092</v>
      </c>
      <c r="O132" s="444"/>
    </row>
    <row r="133" spans="1:15" ht="12.75">
      <c r="A133" s="478"/>
      <c r="B133" s="477"/>
      <c r="C133" s="1621" t="s">
        <v>2093</v>
      </c>
      <c r="D133" s="1589"/>
      <c r="E133" s="476">
        <v>0</v>
      </c>
      <c r="F133" s="475"/>
      <c r="G133" s="230"/>
      <c r="H133" s="474"/>
      <c r="I133" s="473"/>
      <c r="J133" s="569"/>
      <c r="K133" s="572"/>
      <c r="L133" s="436"/>
      <c r="M133" s="472" t="s">
        <v>2093</v>
      </c>
      <c r="O133" s="444"/>
    </row>
    <row r="134" spans="1:15" ht="12.75">
      <c r="A134" s="478"/>
      <c r="B134" s="477"/>
      <c r="C134" s="1621" t="s">
        <v>2094</v>
      </c>
      <c r="D134" s="1589"/>
      <c r="E134" s="476">
        <v>157.08</v>
      </c>
      <c r="F134" s="475"/>
      <c r="G134" s="230"/>
      <c r="H134" s="474"/>
      <c r="I134" s="473"/>
      <c r="J134" s="569"/>
      <c r="K134" s="572"/>
      <c r="L134" s="436"/>
      <c r="M134" s="472" t="s">
        <v>2094</v>
      </c>
      <c r="O134" s="444"/>
    </row>
    <row r="135" spans="1:15" ht="12.75">
      <c r="A135" s="478"/>
      <c r="B135" s="477"/>
      <c r="C135" s="1621" t="s">
        <v>2095</v>
      </c>
      <c r="D135" s="1589"/>
      <c r="E135" s="476">
        <v>45.365</v>
      </c>
      <c r="F135" s="475"/>
      <c r="G135" s="230"/>
      <c r="H135" s="474"/>
      <c r="I135" s="473"/>
      <c r="J135" s="569"/>
      <c r="K135" s="572"/>
      <c r="L135" s="436"/>
      <c r="M135" s="472" t="s">
        <v>2095</v>
      </c>
      <c r="O135" s="444"/>
    </row>
    <row r="136" spans="1:15" ht="12.75">
      <c r="A136" s="478"/>
      <c r="B136" s="477"/>
      <c r="C136" s="1621" t="s">
        <v>2096</v>
      </c>
      <c r="D136" s="1589"/>
      <c r="E136" s="476">
        <v>38</v>
      </c>
      <c r="F136" s="475"/>
      <c r="G136" s="230"/>
      <c r="H136" s="474"/>
      <c r="I136" s="473"/>
      <c r="J136" s="569"/>
      <c r="K136" s="572"/>
      <c r="L136" s="436"/>
      <c r="M136" s="472" t="s">
        <v>2096</v>
      </c>
      <c r="O136" s="444"/>
    </row>
    <row r="137" spans="1:15" ht="12.75">
      <c r="A137" s="478"/>
      <c r="B137" s="477"/>
      <c r="C137" s="1621" t="s">
        <v>2097</v>
      </c>
      <c r="D137" s="1589"/>
      <c r="E137" s="476">
        <v>7.035</v>
      </c>
      <c r="F137" s="475"/>
      <c r="G137" s="230"/>
      <c r="H137" s="474"/>
      <c r="I137" s="473"/>
      <c r="J137" s="569"/>
      <c r="K137" s="572"/>
      <c r="L137" s="436"/>
      <c r="M137" s="472" t="s">
        <v>2097</v>
      </c>
      <c r="O137" s="444"/>
    </row>
    <row r="138" spans="1:15" ht="12.75">
      <c r="A138" s="478"/>
      <c r="B138" s="477"/>
      <c r="C138" s="1621" t="s">
        <v>2098</v>
      </c>
      <c r="D138" s="1589"/>
      <c r="E138" s="476">
        <v>7.236</v>
      </c>
      <c r="F138" s="475"/>
      <c r="G138" s="230"/>
      <c r="H138" s="474"/>
      <c r="I138" s="473"/>
      <c r="J138" s="569"/>
      <c r="K138" s="572"/>
      <c r="L138" s="436"/>
      <c r="M138" s="472" t="s">
        <v>2098</v>
      </c>
      <c r="O138" s="444"/>
    </row>
    <row r="139" spans="1:15" ht="12.75">
      <c r="A139" s="478"/>
      <c r="B139" s="477"/>
      <c r="C139" s="1621" t="s">
        <v>2099</v>
      </c>
      <c r="D139" s="1589"/>
      <c r="E139" s="476">
        <v>6.3</v>
      </c>
      <c r="F139" s="475"/>
      <c r="G139" s="230"/>
      <c r="H139" s="474"/>
      <c r="I139" s="473"/>
      <c r="J139" s="569"/>
      <c r="K139" s="572"/>
      <c r="L139" s="436"/>
      <c r="M139" s="472" t="s">
        <v>2099</v>
      </c>
      <c r="O139" s="444"/>
    </row>
    <row r="140" spans="1:80" ht="12.75">
      <c r="A140" s="461">
        <v>38</v>
      </c>
      <c r="B140" s="460" t="s">
        <v>2126</v>
      </c>
      <c r="C140" s="459" t="s">
        <v>2127</v>
      </c>
      <c r="D140" s="458" t="s">
        <v>196</v>
      </c>
      <c r="E140" s="457">
        <v>7</v>
      </c>
      <c r="F140" s="457">
        <v>0</v>
      </c>
      <c r="G140" s="456">
        <f>E140*F140</f>
        <v>0</v>
      </c>
      <c r="H140" s="455">
        <v>7E-05</v>
      </c>
      <c r="I140" s="454">
        <f>E140*H140</f>
        <v>0.00049</v>
      </c>
      <c r="J140" s="570">
        <v>0</v>
      </c>
      <c r="K140" s="571">
        <f>E140*J140</f>
        <v>0</v>
      </c>
      <c r="L140" s="436"/>
      <c r="O140" s="444">
        <v>2</v>
      </c>
      <c r="AA140" s="434">
        <v>1</v>
      </c>
      <c r="AB140" s="434">
        <v>7</v>
      </c>
      <c r="AC140" s="434">
        <v>7</v>
      </c>
      <c r="AZ140" s="434">
        <v>2</v>
      </c>
      <c r="BA140" s="434">
        <f>IF(AZ140=1,G140,0)</f>
        <v>0</v>
      </c>
      <c r="BB140" s="434">
        <f>IF(AZ140=2,G140,0)</f>
        <v>0</v>
      </c>
      <c r="BC140" s="434">
        <f>IF(AZ140=3,G140,0)</f>
        <v>0</v>
      </c>
      <c r="BD140" s="434">
        <f>IF(AZ140=4,G140,0)</f>
        <v>0</v>
      </c>
      <c r="BE140" s="434">
        <f>IF(AZ140=5,G140,0)</f>
        <v>0</v>
      </c>
      <c r="CA140" s="444">
        <v>1</v>
      </c>
      <c r="CB140" s="444">
        <v>7</v>
      </c>
    </row>
    <row r="141" spans="1:15" ht="12.75">
      <c r="A141" s="478"/>
      <c r="B141" s="477"/>
      <c r="C141" s="1621" t="s">
        <v>2128</v>
      </c>
      <c r="D141" s="1589"/>
      <c r="E141" s="476">
        <v>7</v>
      </c>
      <c r="F141" s="475"/>
      <c r="G141" s="230"/>
      <c r="H141" s="474"/>
      <c r="I141" s="473"/>
      <c r="J141" s="569"/>
      <c r="K141" s="572"/>
      <c r="L141" s="436"/>
      <c r="M141" s="472" t="s">
        <v>2128</v>
      </c>
      <c r="O141" s="444"/>
    </row>
    <row r="142" spans="1:80" ht="12.75">
      <c r="A142" s="461">
        <v>39</v>
      </c>
      <c r="B142" s="460" t="s">
        <v>2129</v>
      </c>
      <c r="C142" s="459" t="s">
        <v>2130</v>
      </c>
      <c r="D142" s="458" t="s">
        <v>757</v>
      </c>
      <c r="E142" s="457">
        <v>7</v>
      </c>
      <c r="F142" s="457">
        <v>0</v>
      </c>
      <c r="G142" s="456">
        <f>E142*F142</f>
        <v>0</v>
      </c>
      <c r="H142" s="455">
        <v>0.001</v>
      </c>
      <c r="I142" s="454">
        <f>E142*H142</f>
        <v>0.007</v>
      </c>
      <c r="J142" s="570"/>
      <c r="K142" s="571">
        <f>E142*J142</f>
        <v>0</v>
      </c>
      <c r="L142" s="436"/>
      <c r="O142" s="444">
        <v>2</v>
      </c>
      <c r="AA142" s="434">
        <v>3</v>
      </c>
      <c r="AB142" s="434">
        <v>7</v>
      </c>
      <c r="AC142" s="434">
        <v>2352022587</v>
      </c>
      <c r="AZ142" s="434">
        <v>2</v>
      </c>
      <c r="BA142" s="434">
        <f>IF(AZ142=1,G142,0)</f>
        <v>0</v>
      </c>
      <c r="BB142" s="434">
        <f>IF(AZ142=2,G142,0)</f>
        <v>0</v>
      </c>
      <c r="BC142" s="434">
        <f>IF(AZ142=3,G142,0)</f>
        <v>0</v>
      </c>
      <c r="BD142" s="434">
        <f>IF(AZ142=4,G142,0)</f>
        <v>0</v>
      </c>
      <c r="BE142" s="434">
        <f>IF(AZ142=5,G142,0)</f>
        <v>0</v>
      </c>
      <c r="CA142" s="444">
        <v>3</v>
      </c>
      <c r="CB142" s="444">
        <v>7</v>
      </c>
    </row>
    <row r="143" spans="1:80" ht="12.75">
      <c r="A143" s="461">
        <v>40</v>
      </c>
      <c r="B143" s="460" t="s">
        <v>695</v>
      </c>
      <c r="C143" s="459" t="s">
        <v>696</v>
      </c>
      <c r="D143" s="458" t="s">
        <v>9</v>
      </c>
      <c r="E143" s="457"/>
      <c r="F143" s="457">
        <v>0</v>
      </c>
      <c r="G143" s="456">
        <f>E143*F143</f>
        <v>0</v>
      </c>
      <c r="H143" s="455">
        <v>0</v>
      </c>
      <c r="I143" s="454">
        <f>E143*H143</f>
        <v>0</v>
      </c>
      <c r="J143" s="570"/>
      <c r="K143" s="571">
        <f>E143*J143</f>
        <v>0</v>
      </c>
      <c r="L143" s="436"/>
      <c r="O143" s="444">
        <v>2</v>
      </c>
      <c r="AA143" s="434">
        <v>7</v>
      </c>
      <c r="AB143" s="434">
        <v>1002</v>
      </c>
      <c r="AC143" s="434">
        <v>5</v>
      </c>
      <c r="AZ143" s="434">
        <v>2</v>
      </c>
      <c r="BA143" s="434">
        <f>IF(AZ143=1,G143,0)</f>
        <v>0</v>
      </c>
      <c r="BB143" s="434">
        <f>IF(AZ143=2,G143,0)</f>
        <v>0</v>
      </c>
      <c r="BC143" s="434">
        <f>IF(AZ143=3,G143,0)</f>
        <v>0</v>
      </c>
      <c r="BD143" s="434">
        <f>IF(AZ143=4,G143,0)</f>
        <v>0</v>
      </c>
      <c r="BE143" s="434">
        <f>IF(AZ143=5,G143,0)</f>
        <v>0</v>
      </c>
      <c r="CA143" s="444">
        <v>7</v>
      </c>
      <c r="CB143" s="444">
        <v>1002</v>
      </c>
    </row>
    <row r="144" spans="1:57" ht="12.75">
      <c r="A144" s="453"/>
      <c r="B144" s="452" t="s">
        <v>175</v>
      </c>
      <c r="C144" s="451" t="s">
        <v>697</v>
      </c>
      <c r="D144" s="450"/>
      <c r="E144" s="449"/>
      <c r="F144" s="448"/>
      <c r="G144" s="447">
        <f>SUM(G125:G143)</f>
        <v>0</v>
      </c>
      <c r="H144" s="446"/>
      <c r="I144" s="445">
        <f>SUM(I125:I143)</f>
        <v>1.379472212</v>
      </c>
      <c r="J144" s="568"/>
      <c r="K144" s="576">
        <f>SUM(K125:K143)</f>
        <v>0</v>
      </c>
      <c r="L144" s="436"/>
      <c r="O144" s="444">
        <v>4</v>
      </c>
      <c r="BA144" s="443">
        <f>SUM(BA125:BA143)</f>
        <v>0</v>
      </c>
      <c r="BB144" s="443">
        <f>SUM(BB125:BB143)</f>
        <v>0</v>
      </c>
      <c r="BC144" s="443">
        <f>SUM(BC125:BC143)</f>
        <v>0</v>
      </c>
      <c r="BD144" s="443">
        <f>SUM(BD125:BD143)</f>
        <v>0</v>
      </c>
      <c r="BE144" s="443">
        <f>SUM(BE125:BE143)</f>
        <v>0</v>
      </c>
    </row>
    <row r="145" spans="1:15" ht="12.75">
      <c r="A145" s="471" t="s">
        <v>140</v>
      </c>
      <c r="B145" s="470" t="s">
        <v>720</v>
      </c>
      <c r="C145" s="469" t="s">
        <v>2131</v>
      </c>
      <c r="D145" s="468"/>
      <c r="E145" s="467"/>
      <c r="F145" s="467"/>
      <c r="G145" s="466"/>
      <c r="H145" s="465"/>
      <c r="I145" s="464"/>
      <c r="J145" s="568"/>
      <c r="K145" s="569"/>
      <c r="L145" s="436"/>
      <c r="O145" s="444">
        <v>1</v>
      </c>
    </row>
    <row r="146" spans="1:80" ht="12.75">
      <c r="A146" s="1551">
        <v>41</v>
      </c>
      <c r="B146" s="1552" t="s">
        <v>722</v>
      </c>
      <c r="C146" s="1553" t="s">
        <v>723</v>
      </c>
      <c r="D146" s="1554" t="s">
        <v>181</v>
      </c>
      <c r="E146" s="1555">
        <v>1</v>
      </c>
      <c r="F146" s="1555">
        <v>0</v>
      </c>
      <c r="G146" s="1556">
        <f>E146*F146</f>
        <v>0</v>
      </c>
      <c r="H146" s="455">
        <v>0</v>
      </c>
      <c r="I146" s="454">
        <f>E146*H146</f>
        <v>0</v>
      </c>
      <c r="J146" s="570">
        <v>0</v>
      </c>
      <c r="K146" s="571">
        <f>E146*J146</f>
        <v>0</v>
      </c>
      <c r="L146" s="436"/>
      <c r="O146" s="444">
        <v>2</v>
      </c>
      <c r="AA146" s="434">
        <v>1</v>
      </c>
      <c r="AB146" s="434">
        <v>7</v>
      </c>
      <c r="AC146" s="434">
        <v>7</v>
      </c>
      <c r="AZ146" s="434">
        <v>2</v>
      </c>
      <c r="BA146" s="434">
        <f>IF(AZ146=1,G146,0)</f>
        <v>0</v>
      </c>
      <c r="BB146" s="434">
        <f>IF(AZ146=2,G146,0)</f>
        <v>0</v>
      </c>
      <c r="BC146" s="434">
        <f>IF(AZ146=3,G146,0)</f>
        <v>0</v>
      </c>
      <c r="BD146" s="434">
        <f>IF(AZ146=4,G146,0)</f>
        <v>0</v>
      </c>
      <c r="BE146" s="434">
        <f>IF(AZ146=5,G146,0)</f>
        <v>0</v>
      </c>
      <c r="CA146" s="444">
        <v>1</v>
      </c>
      <c r="CB146" s="444">
        <v>7</v>
      </c>
    </row>
    <row r="147" spans="1:80" ht="12.75">
      <c r="A147" s="1551">
        <v>42</v>
      </c>
      <c r="B147" s="1552" t="s">
        <v>724</v>
      </c>
      <c r="C147" s="1553" t="s">
        <v>725</v>
      </c>
      <c r="D147" s="1554" t="s">
        <v>9</v>
      </c>
      <c r="E147" s="1555">
        <v>0</v>
      </c>
      <c r="F147" s="1555">
        <v>0</v>
      </c>
      <c r="G147" s="1556">
        <f>E147*F147</f>
        <v>0</v>
      </c>
      <c r="H147" s="455">
        <v>0</v>
      </c>
      <c r="I147" s="454">
        <f>E147*H147</f>
        <v>0</v>
      </c>
      <c r="J147" s="570"/>
      <c r="K147" s="571">
        <f>E147*J147</f>
        <v>0</v>
      </c>
      <c r="L147" s="436"/>
      <c r="O147" s="444">
        <v>2</v>
      </c>
      <c r="AA147" s="434">
        <v>7</v>
      </c>
      <c r="AB147" s="434">
        <v>1002</v>
      </c>
      <c r="AC147" s="434">
        <v>5</v>
      </c>
      <c r="AZ147" s="434">
        <v>2</v>
      </c>
      <c r="BA147" s="434">
        <f>IF(AZ147=1,G147,0)</f>
        <v>0</v>
      </c>
      <c r="BB147" s="434">
        <f>IF(AZ147=2,G147,0)</f>
        <v>0</v>
      </c>
      <c r="BC147" s="434">
        <f>IF(AZ147=3,G147,0)</f>
        <v>0</v>
      </c>
      <c r="BD147" s="434">
        <f>IF(AZ147=4,G147,0)</f>
        <v>0</v>
      </c>
      <c r="BE147" s="434">
        <f>IF(AZ147=5,G147,0)</f>
        <v>0</v>
      </c>
      <c r="CA147" s="444">
        <v>7</v>
      </c>
      <c r="CB147" s="444">
        <v>1002</v>
      </c>
    </row>
    <row r="148" spans="1:57" ht="12.75">
      <c r="A148" s="453"/>
      <c r="B148" s="452" t="s">
        <v>175</v>
      </c>
      <c r="C148" s="451" t="s">
        <v>2132</v>
      </c>
      <c r="D148" s="450"/>
      <c r="E148" s="449"/>
      <c r="F148" s="448"/>
      <c r="G148" s="447">
        <f>SUM(G145:G147)</f>
        <v>0</v>
      </c>
      <c r="H148" s="446"/>
      <c r="I148" s="445">
        <f>SUM(I145:I147)</f>
        <v>0</v>
      </c>
      <c r="J148" s="568"/>
      <c r="K148" s="576">
        <f>SUM(K145:K147)</f>
        <v>0</v>
      </c>
      <c r="L148" s="436"/>
      <c r="O148" s="444">
        <v>4</v>
      </c>
      <c r="BA148" s="443">
        <f>SUM(BA145:BA147)</f>
        <v>0</v>
      </c>
      <c r="BB148" s="443">
        <f>SUM(BB145:BB147)</f>
        <v>0</v>
      </c>
      <c r="BC148" s="443">
        <f>SUM(BC145:BC147)</f>
        <v>0</v>
      </c>
      <c r="BD148" s="443">
        <f>SUM(BD145:BD147)</f>
        <v>0</v>
      </c>
      <c r="BE148" s="443">
        <f>SUM(BE145:BE147)</f>
        <v>0</v>
      </c>
    </row>
    <row r="149" spans="1:15" ht="12.75">
      <c r="A149" s="471" t="s">
        <v>140</v>
      </c>
      <c r="B149" s="470" t="s">
        <v>255</v>
      </c>
      <c r="C149" s="469" t="s">
        <v>256</v>
      </c>
      <c r="D149" s="468"/>
      <c r="E149" s="467"/>
      <c r="F149" s="467"/>
      <c r="G149" s="466"/>
      <c r="H149" s="465"/>
      <c r="I149" s="464"/>
      <c r="J149" s="568"/>
      <c r="K149" s="569"/>
      <c r="L149" s="436"/>
      <c r="O149" s="444">
        <v>1</v>
      </c>
    </row>
    <row r="150" spans="1:80" ht="12.75">
      <c r="A150" s="461">
        <v>43</v>
      </c>
      <c r="B150" s="460" t="s">
        <v>2133</v>
      </c>
      <c r="C150" s="459" t="s">
        <v>2134</v>
      </c>
      <c r="D150" s="458" t="s">
        <v>259</v>
      </c>
      <c r="E150" s="457">
        <v>200</v>
      </c>
      <c r="F150" s="457">
        <v>0</v>
      </c>
      <c r="G150" s="456">
        <f>E150*F150</f>
        <v>0</v>
      </c>
      <c r="H150" s="455">
        <v>0</v>
      </c>
      <c r="I150" s="454">
        <f>E150*H150</f>
        <v>0</v>
      </c>
      <c r="J150" s="570">
        <v>0</v>
      </c>
      <c r="K150" s="571">
        <f>E150*J150</f>
        <v>0</v>
      </c>
      <c r="L150" s="436"/>
      <c r="O150" s="444">
        <v>2</v>
      </c>
      <c r="AA150" s="434">
        <v>1</v>
      </c>
      <c r="AB150" s="434">
        <v>7</v>
      </c>
      <c r="AC150" s="434">
        <v>7</v>
      </c>
      <c r="AZ150" s="434">
        <v>2</v>
      </c>
      <c r="BA150" s="434">
        <f>IF(AZ150=1,G150,0)</f>
        <v>0</v>
      </c>
      <c r="BB150" s="434">
        <f>IF(AZ150=2,G150,0)</f>
        <v>0</v>
      </c>
      <c r="BC150" s="434">
        <f>IF(AZ150=3,G150,0)</f>
        <v>0</v>
      </c>
      <c r="BD150" s="434">
        <f>IF(AZ150=4,G150,0)</f>
        <v>0</v>
      </c>
      <c r="BE150" s="434">
        <f>IF(AZ150=5,G150,0)</f>
        <v>0</v>
      </c>
      <c r="CA150" s="444">
        <v>1</v>
      </c>
      <c r="CB150" s="444">
        <v>7</v>
      </c>
    </row>
    <row r="151" spans="1:15" ht="12.75">
      <c r="A151" s="478"/>
      <c r="B151" s="477"/>
      <c r="C151" s="1621" t="s">
        <v>2135</v>
      </c>
      <c r="D151" s="1589"/>
      <c r="E151" s="476">
        <v>200</v>
      </c>
      <c r="F151" s="475"/>
      <c r="G151" s="230"/>
      <c r="H151" s="474"/>
      <c r="I151" s="473"/>
      <c r="J151" s="569"/>
      <c r="K151" s="572"/>
      <c r="L151" s="436"/>
      <c r="M151" s="472" t="s">
        <v>2135</v>
      </c>
      <c r="O151" s="444"/>
    </row>
    <row r="152" spans="1:80" ht="12.75">
      <c r="A152" s="461">
        <v>44</v>
      </c>
      <c r="B152" s="460" t="s">
        <v>2136</v>
      </c>
      <c r="C152" s="459" t="s">
        <v>2137</v>
      </c>
      <c r="D152" s="458" t="s">
        <v>196</v>
      </c>
      <c r="E152" s="457">
        <v>1</v>
      </c>
      <c r="F152" s="457">
        <v>0</v>
      </c>
      <c r="G152" s="456">
        <f>E152*F152</f>
        <v>0</v>
      </c>
      <c r="H152" s="455">
        <v>0</v>
      </c>
      <c r="I152" s="454">
        <f>E152*H152</f>
        <v>0</v>
      </c>
      <c r="J152" s="570">
        <v>0</v>
      </c>
      <c r="K152" s="571">
        <f>E152*J152</f>
        <v>0</v>
      </c>
      <c r="L152" s="436"/>
      <c r="O152" s="444">
        <v>2</v>
      </c>
      <c r="AA152" s="434">
        <v>1</v>
      </c>
      <c r="AB152" s="434">
        <v>7</v>
      </c>
      <c r="AC152" s="434">
        <v>7</v>
      </c>
      <c r="AZ152" s="434">
        <v>2</v>
      </c>
      <c r="BA152" s="434">
        <f>IF(AZ152=1,G152,0)</f>
        <v>0</v>
      </c>
      <c r="BB152" s="434">
        <f>IF(AZ152=2,G152,0)</f>
        <v>0</v>
      </c>
      <c r="BC152" s="434">
        <f>IF(AZ152=3,G152,0)</f>
        <v>0</v>
      </c>
      <c r="BD152" s="434">
        <f>IF(AZ152=4,G152,0)</f>
        <v>0</v>
      </c>
      <c r="BE152" s="434">
        <f>IF(AZ152=5,G152,0)</f>
        <v>0</v>
      </c>
      <c r="CA152" s="444">
        <v>1</v>
      </c>
      <c r="CB152" s="444">
        <v>7</v>
      </c>
    </row>
    <row r="153" spans="1:80" ht="12.75">
      <c r="A153" s="461">
        <v>45</v>
      </c>
      <c r="B153" s="460" t="s">
        <v>2138</v>
      </c>
      <c r="C153" s="459" t="s">
        <v>2139</v>
      </c>
      <c r="D153" s="458" t="s">
        <v>196</v>
      </c>
      <c r="E153" s="457">
        <v>1</v>
      </c>
      <c r="F153" s="457">
        <v>0</v>
      </c>
      <c r="G153" s="456">
        <f>E153*F153</f>
        <v>0</v>
      </c>
      <c r="H153" s="455">
        <v>0</v>
      </c>
      <c r="I153" s="454">
        <f>E153*H153</f>
        <v>0</v>
      </c>
      <c r="J153" s="570">
        <v>0</v>
      </c>
      <c r="K153" s="571">
        <f>E153*J153</f>
        <v>0</v>
      </c>
      <c r="L153" s="436"/>
      <c r="O153" s="444">
        <v>2</v>
      </c>
      <c r="AA153" s="434">
        <v>1</v>
      </c>
      <c r="AB153" s="434">
        <v>7</v>
      </c>
      <c r="AC153" s="434">
        <v>7</v>
      </c>
      <c r="AZ153" s="434">
        <v>2</v>
      </c>
      <c r="BA153" s="434">
        <f>IF(AZ153=1,G153,0)</f>
        <v>0</v>
      </c>
      <c r="BB153" s="434">
        <f>IF(AZ153=2,G153,0)</f>
        <v>0</v>
      </c>
      <c r="BC153" s="434">
        <f>IF(AZ153=3,G153,0)</f>
        <v>0</v>
      </c>
      <c r="BD153" s="434">
        <f>IF(AZ153=4,G153,0)</f>
        <v>0</v>
      </c>
      <c r="BE153" s="434">
        <f>IF(AZ153=5,G153,0)</f>
        <v>0</v>
      </c>
      <c r="CA153" s="444">
        <v>1</v>
      </c>
      <c r="CB153" s="444">
        <v>7</v>
      </c>
    </row>
    <row r="154" spans="1:80" ht="12.75">
      <c r="A154" s="461">
        <v>46</v>
      </c>
      <c r="B154" s="460" t="s">
        <v>2140</v>
      </c>
      <c r="C154" s="459" t="s">
        <v>2141</v>
      </c>
      <c r="D154" s="458" t="s">
        <v>231</v>
      </c>
      <c r="E154" s="457">
        <v>3</v>
      </c>
      <c r="F154" s="457">
        <v>0</v>
      </c>
      <c r="G154" s="456">
        <f>E154*F154</f>
        <v>0</v>
      </c>
      <c r="H154" s="455">
        <v>6E-05</v>
      </c>
      <c r="I154" s="454">
        <f>E154*H154</f>
        <v>0.00018</v>
      </c>
      <c r="J154" s="570">
        <v>0</v>
      </c>
      <c r="K154" s="571">
        <f>E154*J154</f>
        <v>0</v>
      </c>
      <c r="L154" s="436"/>
      <c r="O154" s="444">
        <v>2</v>
      </c>
      <c r="AA154" s="434">
        <v>1</v>
      </c>
      <c r="AB154" s="434">
        <v>7</v>
      </c>
      <c r="AC154" s="434">
        <v>7</v>
      </c>
      <c r="AZ154" s="434">
        <v>2</v>
      </c>
      <c r="BA154" s="434">
        <f>IF(AZ154=1,G154,0)</f>
        <v>0</v>
      </c>
      <c r="BB154" s="434">
        <f>IF(AZ154=2,G154,0)</f>
        <v>0</v>
      </c>
      <c r="BC154" s="434">
        <f>IF(AZ154=3,G154,0)</f>
        <v>0</v>
      </c>
      <c r="BD154" s="434">
        <f>IF(AZ154=4,G154,0)</f>
        <v>0</v>
      </c>
      <c r="BE154" s="434">
        <f>IF(AZ154=5,G154,0)</f>
        <v>0</v>
      </c>
      <c r="CA154" s="444">
        <v>1</v>
      </c>
      <c r="CB154" s="444">
        <v>7</v>
      </c>
    </row>
    <row r="155" spans="1:15" ht="12.75">
      <c r="A155" s="478"/>
      <c r="B155" s="477"/>
      <c r="C155" s="1621" t="s">
        <v>2142</v>
      </c>
      <c r="D155" s="1589"/>
      <c r="E155" s="476">
        <v>3</v>
      </c>
      <c r="F155" s="475"/>
      <c r="G155" s="230"/>
      <c r="H155" s="474"/>
      <c r="I155" s="473"/>
      <c r="J155" s="569"/>
      <c r="K155" s="572"/>
      <c r="L155" s="436"/>
      <c r="M155" s="472" t="s">
        <v>2142</v>
      </c>
      <c r="O155" s="444"/>
    </row>
    <row r="156" spans="1:80" ht="12.75">
      <c r="A156" s="461">
        <v>47</v>
      </c>
      <c r="B156" s="460" t="s">
        <v>257</v>
      </c>
      <c r="C156" s="459" t="s">
        <v>258</v>
      </c>
      <c r="D156" s="458" t="s">
        <v>259</v>
      </c>
      <c r="E156" s="457">
        <v>290</v>
      </c>
      <c r="F156" s="457">
        <v>0</v>
      </c>
      <c r="G156" s="456">
        <f>E156*F156</f>
        <v>0</v>
      </c>
      <c r="H156" s="455">
        <v>5E-05</v>
      </c>
      <c r="I156" s="454">
        <f>E156*H156</f>
        <v>0.0145</v>
      </c>
      <c r="J156" s="570"/>
      <c r="K156" s="571">
        <f>E156*J156</f>
        <v>0</v>
      </c>
      <c r="L156" s="436"/>
      <c r="O156" s="444">
        <v>2</v>
      </c>
      <c r="AA156" s="434">
        <v>1</v>
      </c>
      <c r="AB156" s="434">
        <v>7</v>
      </c>
      <c r="AC156" s="434">
        <v>7</v>
      </c>
      <c r="AZ156" s="434">
        <v>2</v>
      </c>
      <c r="BA156" s="434">
        <f>IF(AZ156=1,G156,0)</f>
        <v>0</v>
      </c>
      <c r="BB156" s="434">
        <f>IF(AZ156=2,G156,0)</f>
        <v>0</v>
      </c>
      <c r="BC156" s="434">
        <f>IF(AZ156=3,G156,0)</f>
        <v>0</v>
      </c>
      <c r="BD156" s="434">
        <f>IF(AZ156=4,G156,0)</f>
        <v>0</v>
      </c>
      <c r="BE156" s="434">
        <f>IF(AZ156=5,G156,0)</f>
        <v>0</v>
      </c>
      <c r="CA156" s="444">
        <v>1</v>
      </c>
      <c r="CB156" s="444">
        <v>7</v>
      </c>
    </row>
    <row r="157" spans="1:15" ht="12.75">
      <c r="A157" s="478"/>
      <c r="B157" s="477"/>
      <c r="C157" s="1621" t="s">
        <v>2143</v>
      </c>
      <c r="D157" s="1589"/>
      <c r="E157" s="476">
        <v>250</v>
      </c>
      <c r="F157" s="475"/>
      <c r="G157" s="230"/>
      <c r="H157" s="474"/>
      <c r="I157" s="473"/>
      <c r="J157" s="569"/>
      <c r="K157" s="572"/>
      <c r="L157" s="436"/>
      <c r="M157" s="472" t="s">
        <v>2143</v>
      </c>
      <c r="O157" s="444"/>
    </row>
    <row r="158" spans="1:15" ht="12.75">
      <c r="A158" s="478"/>
      <c r="B158" s="477"/>
      <c r="C158" s="1621" t="s">
        <v>2144</v>
      </c>
      <c r="D158" s="1589"/>
      <c r="E158" s="476">
        <v>20</v>
      </c>
      <c r="F158" s="475"/>
      <c r="G158" s="230"/>
      <c r="H158" s="474"/>
      <c r="I158" s="473"/>
      <c r="J158" s="569"/>
      <c r="K158" s="572"/>
      <c r="L158" s="436"/>
      <c r="M158" s="472" t="s">
        <v>2144</v>
      </c>
      <c r="O158" s="444"/>
    </row>
    <row r="159" spans="1:15" ht="12.75">
      <c r="A159" s="478"/>
      <c r="B159" s="477"/>
      <c r="C159" s="1621" t="s">
        <v>2145</v>
      </c>
      <c r="D159" s="1589"/>
      <c r="E159" s="476">
        <v>20</v>
      </c>
      <c r="F159" s="475"/>
      <c r="G159" s="230"/>
      <c r="H159" s="474"/>
      <c r="I159" s="473"/>
      <c r="J159" s="569"/>
      <c r="K159" s="572"/>
      <c r="L159" s="436"/>
      <c r="M159" s="472" t="s">
        <v>2145</v>
      </c>
      <c r="O159" s="444"/>
    </row>
    <row r="160" spans="1:80" ht="20.4">
      <c r="A160" s="461">
        <v>48</v>
      </c>
      <c r="B160" s="460" t="s">
        <v>2146</v>
      </c>
      <c r="C160" s="459" t="s">
        <v>2147</v>
      </c>
      <c r="D160" s="458" t="s">
        <v>181</v>
      </c>
      <c r="E160" s="457">
        <v>1</v>
      </c>
      <c r="F160" s="457">
        <v>0</v>
      </c>
      <c r="G160" s="456">
        <f>E160*F160</f>
        <v>0</v>
      </c>
      <c r="H160" s="455">
        <v>1</v>
      </c>
      <c r="I160" s="454">
        <f>E160*H160</f>
        <v>1</v>
      </c>
      <c r="J160" s="570"/>
      <c r="K160" s="571">
        <f>E160*J160</f>
        <v>0</v>
      </c>
      <c r="L160" s="436"/>
      <c r="O160" s="444">
        <v>2</v>
      </c>
      <c r="AA160" s="434">
        <v>3</v>
      </c>
      <c r="AB160" s="434">
        <v>7</v>
      </c>
      <c r="AC160" s="434">
        <v>13322939</v>
      </c>
      <c r="AZ160" s="434">
        <v>2</v>
      </c>
      <c r="BA160" s="434">
        <f>IF(AZ160=1,G160,0)</f>
        <v>0</v>
      </c>
      <c r="BB160" s="434">
        <f>IF(AZ160=2,G160,0)</f>
        <v>0</v>
      </c>
      <c r="BC160" s="434">
        <f>IF(AZ160=3,G160,0)</f>
        <v>0</v>
      </c>
      <c r="BD160" s="434">
        <f>IF(AZ160=4,G160,0)</f>
        <v>0</v>
      </c>
      <c r="BE160" s="434">
        <f>IF(AZ160=5,G160,0)</f>
        <v>0</v>
      </c>
      <c r="CA160" s="444">
        <v>3</v>
      </c>
      <c r="CB160" s="444">
        <v>7</v>
      </c>
    </row>
    <row r="161" spans="1:80" ht="20.4">
      <c r="A161" s="461">
        <v>49</v>
      </c>
      <c r="B161" s="460" t="s">
        <v>2148</v>
      </c>
      <c r="C161" s="459" t="s">
        <v>2149</v>
      </c>
      <c r="D161" s="458" t="s">
        <v>196</v>
      </c>
      <c r="E161" s="457">
        <v>1</v>
      </c>
      <c r="F161" s="457">
        <v>0</v>
      </c>
      <c r="G161" s="456">
        <f>E161*F161</f>
        <v>0</v>
      </c>
      <c r="H161" s="455">
        <v>0.0223</v>
      </c>
      <c r="I161" s="454">
        <f>E161*H161</f>
        <v>0.0223</v>
      </c>
      <c r="J161" s="570"/>
      <c r="K161" s="571">
        <f>E161*J161</f>
        <v>0</v>
      </c>
      <c r="L161" s="436"/>
      <c r="O161" s="444">
        <v>2</v>
      </c>
      <c r="AA161" s="434">
        <v>3</v>
      </c>
      <c r="AB161" s="434">
        <v>7</v>
      </c>
      <c r="AC161" s="434">
        <v>31186302</v>
      </c>
      <c r="AZ161" s="434">
        <v>2</v>
      </c>
      <c r="BA161" s="434">
        <f>IF(AZ161=1,G161,0)</f>
        <v>0</v>
      </c>
      <c r="BB161" s="434">
        <f>IF(AZ161=2,G161,0)</f>
        <v>0</v>
      </c>
      <c r="BC161" s="434">
        <f>IF(AZ161=3,G161,0)</f>
        <v>0</v>
      </c>
      <c r="BD161" s="434">
        <f>IF(AZ161=4,G161,0)</f>
        <v>0</v>
      </c>
      <c r="BE161" s="434">
        <f>IF(AZ161=5,G161,0)</f>
        <v>0</v>
      </c>
      <c r="CA161" s="444">
        <v>3</v>
      </c>
      <c r="CB161" s="444">
        <v>7</v>
      </c>
    </row>
    <row r="162" spans="1:80" ht="20.4">
      <c r="A162" s="461">
        <v>50</v>
      </c>
      <c r="B162" s="460" t="s">
        <v>2150</v>
      </c>
      <c r="C162" s="459" t="s">
        <v>2151</v>
      </c>
      <c r="D162" s="458" t="s">
        <v>196</v>
      </c>
      <c r="E162" s="457">
        <v>1</v>
      </c>
      <c r="F162" s="457">
        <v>0</v>
      </c>
      <c r="G162" s="456">
        <f>E162*F162</f>
        <v>0</v>
      </c>
      <c r="H162" s="455">
        <v>0.0426</v>
      </c>
      <c r="I162" s="454">
        <f>E162*H162</f>
        <v>0.0426</v>
      </c>
      <c r="J162" s="570"/>
      <c r="K162" s="571">
        <f>E162*J162</f>
        <v>0</v>
      </c>
      <c r="L162" s="436"/>
      <c r="O162" s="444">
        <v>2</v>
      </c>
      <c r="AA162" s="434">
        <v>3</v>
      </c>
      <c r="AB162" s="434">
        <v>7</v>
      </c>
      <c r="AC162" s="434">
        <v>55340753</v>
      </c>
      <c r="AZ162" s="434">
        <v>2</v>
      </c>
      <c r="BA162" s="434">
        <f>IF(AZ162=1,G162,0)</f>
        <v>0</v>
      </c>
      <c r="BB162" s="434">
        <f>IF(AZ162=2,G162,0)</f>
        <v>0</v>
      </c>
      <c r="BC162" s="434">
        <f>IF(AZ162=3,G162,0)</f>
        <v>0</v>
      </c>
      <c r="BD162" s="434">
        <f>IF(AZ162=4,G162,0)</f>
        <v>0</v>
      </c>
      <c r="BE162" s="434">
        <f>IF(AZ162=5,G162,0)</f>
        <v>0</v>
      </c>
      <c r="CA162" s="444">
        <v>3</v>
      </c>
      <c r="CB162" s="444">
        <v>7</v>
      </c>
    </row>
    <row r="163" spans="1:80" ht="12.75">
      <c r="A163" s="461">
        <v>51</v>
      </c>
      <c r="B163" s="460" t="s">
        <v>2152</v>
      </c>
      <c r="C163" s="459" t="s">
        <v>2153</v>
      </c>
      <c r="D163" s="458" t="s">
        <v>196</v>
      </c>
      <c r="E163" s="457">
        <v>1</v>
      </c>
      <c r="F163" s="457">
        <v>0</v>
      </c>
      <c r="G163" s="456">
        <f>E163*F163</f>
        <v>0</v>
      </c>
      <c r="H163" s="455">
        <v>0.0427</v>
      </c>
      <c r="I163" s="454">
        <f>E163*H163</f>
        <v>0.0427</v>
      </c>
      <c r="J163" s="570"/>
      <c r="K163" s="571">
        <f>E163*J163</f>
        <v>0</v>
      </c>
      <c r="L163" s="436"/>
      <c r="O163" s="444">
        <v>2</v>
      </c>
      <c r="AA163" s="434">
        <v>3</v>
      </c>
      <c r="AB163" s="434">
        <v>7</v>
      </c>
      <c r="AC163" s="434">
        <v>55340770</v>
      </c>
      <c r="AZ163" s="434">
        <v>2</v>
      </c>
      <c r="BA163" s="434">
        <f>IF(AZ163=1,G163,0)</f>
        <v>0</v>
      </c>
      <c r="BB163" s="434">
        <f>IF(AZ163=2,G163,0)</f>
        <v>0</v>
      </c>
      <c r="BC163" s="434">
        <f>IF(AZ163=3,G163,0)</f>
        <v>0</v>
      </c>
      <c r="BD163" s="434">
        <f>IF(AZ163=4,G163,0)</f>
        <v>0</v>
      </c>
      <c r="BE163" s="434">
        <f>IF(AZ163=5,G163,0)</f>
        <v>0</v>
      </c>
      <c r="CA163" s="444">
        <v>3</v>
      </c>
      <c r="CB163" s="444">
        <v>7</v>
      </c>
    </row>
    <row r="164" spans="1:15" ht="12.75">
      <c r="A164" s="478"/>
      <c r="B164" s="477"/>
      <c r="C164" s="1621" t="s">
        <v>2154</v>
      </c>
      <c r="D164" s="1589"/>
      <c r="E164" s="476">
        <v>1</v>
      </c>
      <c r="F164" s="475"/>
      <c r="G164" s="230"/>
      <c r="H164" s="474"/>
      <c r="I164" s="473"/>
      <c r="J164" s="569"/>
      <c r="K164" s="572"/>
      <c r="L164" s="436"/>
      <c r="M164" s="472" t="s">
        <v>2154</v>
      </c>
      <c r="O164" s="444"/>
    </row>
    <row r="165" spans="1:80" ht="12.75">
      <c r="A165" s="461">
        <v>52</v>
      </c>
      <c r="B165" s="460" t="s">
        <v>263</v>
      </c>
      <c r="C165" s="459" t="s">
        <v>264</v>
      </c>
      <c r="D165" s="458" t="s">
        <v>9</v>
      </c>
      <c r="E165" s="457"/>
      <c r="F165" s="457">
        <v>0</v>
      </c>
      <c r="G165" s="456">
        <f>E165*F165</f>
        <v>0</v>
      </c>
      <c r="H165" s="455">
        <v>0</v>
      </c>
      <c r="I165" s="454">
        <f>E165*H165</f>
        <v>0</v>
      </c>
      <c r="J165" s="570"/>
      <c r="K165" s="571">
        <f>E165*J165</f>
        <v>0</v>
      </c>
      <c r="L165" s="436"/>
      <c r="O165" s="444">
        <v>2</v>
      </c>
      <c r="AA165" s="434">
        <v>7</v>
      </c>
      <c r="AB165" s="434">
        <v>1002</v>
      </c>
      <c r="AC165" s="434">
        <v>5</v>
      </c>
      <c r="AZ165" s="434">
        <v>2</v>
      </c>
      <c r="BA165" s="434">
        <f>IF(AZ165=1,G165,0)</f>
        <v>0</v>
      </c>
      <c r="BB165" s="434">
        <f>IF(AZ165=2,G165,0)</f>
        <v>0</v>
      </c>
      <c r="BC165" s="434">
        <f>IF(AZ165=3,G165,0)</f>
        <v>0</v>
      </c>
      <c r="BD165" s="434">
        <f>IF(AZ165=4,G165,0)</f>
        <v>0</v>
      </c>
      <c r="BE165" s="434">
        <f>IF(AZ165=5,G165,0)</f>
        <v>0</v>
      </c>
      <c r="CA165" s="444">
        <v>7</v>
      </c>
      <c r="CB165" s="444">
        <v>1002</v>
      </c>
    </row>
    <row r="166" spans="1:57" ht="12.75">
      <c r="A166" s="453"/>
      <c r="B166" s="452" t="s">
        <v>175</v>
      </c>
      <c r="C166" s="451" t="s">
        <v>265</v>
      </c>
      <c r="D166" s="450"/>
      <c r="E166" s="449"/>
      <c r="F166" s="448"/>
      <c r="G166" s="447">
        <f>SUM(G149:G165)</f>
        <v>0</v>
      </c>
      <c r="H166" s="446"/>
      <c r="I166" s="445">
        <f>SUM(I149:I165)</f>
        <v>1.12228</v>
      </c>
      <c r="J166" s="568"/>
      <c r="K166" s="576">
        <f>SUM(K149:K165)</f>
        <v>0</v>
      </c>
      <c r="L166" s="436"/>
      <c r="O166" s="444">
        <v>4</v>
      </c>
      <c r="BA166" s="443">
        <f>SUM(BA149:BA165)</f>
        <v>0</v>
      </c>
      <c r="BB166" s="443">
        <f>SUM(BB149:BB165)</f>
        <v>0</v>
      </c>
      <c r="BC166" s="443">
        <f>SUM(BC149:BC165)</f>
        <v>0</v>
      </c>
      <c r="BD166" s="443">
        <f>SUM(BD149:BD165)</f>
        <v>0</v>
      </c>
      <c r="BE166" s="443">
        <f>SUM(BE149:BE165)</f>
        <v>0</v>
      </c>
    </row>
    <row r="167" spans="1:15" ht="12.75">
      <c r="A167" s="471" t="s">
        <v>140</v>
      </c>
      <c r="B167" s="470" t="s">
        <v>956</v>
      </c>
      <c r="C167" s="469" t="s">
        <v>957</v>
      </c>
      <c r="D167" s="468"/>
      <c r="E167" s="467"/>
      <c r="F167" s="467"/>
      <c r="G167" s="466"/>
      <c r="H167" s="465"/>
      <c r="I167" s="464"/>
      <c r="J167" s="568"/>
      <c r="K167" s="569"/>
      <c r="L167" s="436"/>
      <c r="O167" s="444">
        <v>1</v>
      </c>
    </row>
    <row r="168" spans="1:80" ht="12.75">
      <c r="A168" s="461">
        <v>53</v>
      </c>
      <c r="B168" s="460" t="s">
        <v>2155</v>
      </c>
      <c r="C168" s="459" t="s">
        <v>2156</v>
      </c>
      <c r="D168" s="458" t="s">
        <v>231</v>
      </c>
      <c r="E168" s="457">
        <v>7.1</v>
      </c>
      <c r="F168" s="457">
        <v>0</v>
      </c>
      <c r="G168" s="456">
        <f>E168*F168</f>
        <v>0</v>
      </c>
      <c r="H168" s="455">
        <v>0</v>
      </c>
      <c r="I168" s="454">
        <f>E168*H168</f>
        <v>0</v>
      </c>
      <c r="J168" s="570">
        <v>0</v>
      </c>
      <c r="K168" s="571">
        <f>E168*J168</f>
        <v>0</v>
      </c>
      <c r="L168" s="436"/>
      <c r="O168" s="444">
        <v>2</v>
      </c>
      <c r="AA168" s="434">
        <v>1</v>
      </c>
      <c r="AB168" s="434">
        <v>7</v>
      </c>
      <c r="AC168" s="434">
        <v>7</v>
      </c>
      <c r="AZ168" s="434">
        <v>2</v>
      </c>
      <c r="BA168" s="434">
        <f>IF(AZ168=1,G168,0)</f>
        <v>0</v>
      </c>
      <c r="BB168" s="434">
        <f>IF(AZ168=2,G168,0)</f>
        <v>0</v>
      </c>
      <c r="BC168" s="434">
        <f>IF(AZ168=3,G168,0)</f>
        <v>0</v>
      </c>
      <c r="BD168" s="434">
        <f>IF(AZ168=4,G168,0)</f>
        <v>0</v>
      </c>
      <c r="BE168" s="434">
        <f>IF(AZ168=5,G168,0)</f>
        <v>0</v>
      </c>
      <c r="CA168" s="444">
        <v>1</v>
      </c>
      <c r="CB168" s="444">
        <v>7</v>
      </c>
    </row>
    <row r="169" spans="1:15" ht="12.75">
      <c r="A169" s="478"/>
      <c r="B169" s="477"/>
      <c r="C169" s="1621" t="s">
        <v>2157</v>
      </c>
      <c r="D169" s="1589"/>
      <c r="E169" s="476">
        <v>7.1</v>
      </c>
      <c r="F169" s="475"/>
      <c r="G169" s="230"/>
      <c r="H169" s="474"/>
      <c r="I169" s="473"/>
      <c r="J169" s="569"/>
      <c r="K169" s="572"/>
      <c r="L169" s="436"/>
      <c r="M169" s="472" t="s">
        <v>2157</v>
      </c>
      <c r="O169" s="444"/>
    </row>
    <row r="170" spans="1:80" ht="12.75">
      <c r="A170" s="461">
        <v>54</v>
      </c>
      <c r="B170" s="460" t="s">
        <v>2158</v>
      </c>
      <c r="C170" s="459" t="s">
        <v>2159</v>
      </c>
      <c r="D170" s="458" t="s">
        <v>145</v>
      </c>
      <c r="E170" s="457">
        <v>3.15</v>
      </c>
      <c r="F170" s="457">
        <v>0</v>
      </c>
      <c r="G170" s="456">
        <f>E170*F170</f>
        <v>0</v>
      </c>
      <c r="H170" s="455">
        <v>0</v>
      </c>
      <c r="I170" s="454">
        <f>E170*H170</f>
        <v>0</v>
      </c>
      <c r="J170" s="570">
        <v>0</v>
      </c>
      <c r="K170" s="571">
        <f>E170*J170</f>
        <v>0</v>
      </c>
      <c r="L170" s="436"/>
      <c r="O170" s="444">
        <v>2</v>
      </c>
      <c r="AA170" s="434">
        <v>1</v>
      </c>
      <c r="AB170" s="434">
        <v>7</v>
      </c>
      <c r="AC170" s="434">
        <v>7</v>
      </c>
      <c r="AZ170" s="434">
        <v>2</v>
      </c>
      <c r="BA170" s="434">
        <f>IF(AZ170=1,G170,0)</f>
        <v>0</v>
      </c>
      <c r="BB170" s="434">
        <f>IF(AZ170=2,G170,0)</f>
        <v>0</v>
      </c>
      <c r="BC170" s="434">
        <f>IF(AZ170=3,G170,0)</f>
        <v>0</v>
      </c>
      <c r="BD170" s="434">
        <f>IF(AZ170=4,G170,0)</f>
        <v>0</v>
      </c>
      <c r="BE170" s="434">
        <f>IF(AZ170=5,G170,0)</f>
        <v>0</v>
      </c>
      <c r="CA170" s="444">
        <v>1</v>
      </c>
      <c r="CB170" s="444">
        <v>7</v>
      </c>
    </row>
    <row r="171" spans="1:15" ht="12.75">
      <c r="A171" s="478"/>
      <c r="B171" s="477"/>
      <c r="C171" s="1621" t="s">
        <v>2108</v>
      </c>
      <c r="D171" s="1589"/>
      <c r="E171" s="476">
        <v>3.15</v>
      </c>
      <c r="F171" s="475"/>
      <c r="G171" s="230"/>
      <c r="H171" s="474"/>
      <c r="I171" s="473"/>
      <c r="J171" s="569"/>
      <c r="K171" s="572"/>
      <c r="L171" s="436"/>
      <c r="M171" s="472" t="s">
        <v>2108</v>
      </c>
      <c r="O171" s="444"/>
    </row>
    <row r="172" spans="1:80" ht="20.4">
      <c r="A172" s="461">
        <v>55</v>
      </c>
      <c r="B172" s="460" t="s">
        <v>964</v>
      </c>
      <c r="C172" s="459" t="s">
        <v>965</v>
      </c>
      <c r="D172" s="458" t="s">
        <v>145</v>
      </c>
      <c r="E172" s="457">
        <v>3.15</v>
      </c>
      <c r="F172" s="457">
        <v>0</v>
      </c>
      <c r="G172" s="456">
        <f>E172*F172</f>
        <v>0</v>
      </c>
      <c r="H172" s="455">
        <v>0.00354</v>
      </c>
      <c r="I172" s="454">
        <f>E172*H172</f>
        <v>0.011151</v>
      </c>
      <c r="J172" s="570">
        <v>0</v>
      </c>
      <c r="K172" s="571">
        <f>E172*J172</f>
        <v>0</v>
      </c>
      <c r="L172" s="436"/>
      <c r="O172" s="444">
        <v>2</v>
      </c>
      <c r="AA172" s="434">
        <v>1</v>
      </c>
      <c r="AB172" s="434">
        <v>7</v>
      </c>
      <c r="AC172" s="434">
        <v>7</v>
      </c>
      <c r="AZ172" s="434">
        <v>2</v>
      </c>
      <c r="BA172" s="434">
        <f>IF(AZ172=1,G172,0)</f>
        <v>0</v>
      </c>
      <c r="BB172" s="434">
        <f>IF(AZ172=2,G172,0)</f>
        <v>0</v>
      </c>
      <c r="BC172" s="434">
        <f>IF(AZ172=3,G172,0)</f>
        <v>0</v>
      </c>
      <c r="BD172" s="434">
        <f>IF(AZ172=4,G172,0)</f>
        <v>0</v>
      </c>
      <c r="BE172" s="434">
        <f>IF(AZ172=5,G172,0)</f>
        <v>0</v>
      </c>
      <c r="CA172" s="444">
        <v>1</v>
      </c>
      <c r="CB172" s="444">
        <v>7</v>
      </c>
    </row>
    <row r="173" spans="1:15" ht="12.75">
      <c r="A173" s="478"/>
      <c r="B173" s="477"/>
      <c r="C173" s="1621" t="s">
        <v>2108</v>
      </c>
      <c r="D173" s="1589"/>
      <c r="E173" s="476">
        <v>3.15</v>
      </c>
      <c r="F173" s="475"/>
      <c r="G173" s="230"/>
      <c r="H173" s="474"/>
      <c r="I173" s="473"/>
      <c r="J173" s="569"/>
      <c r="K173" s="572"/>
      <c r="L173" s="436"/>
      <c r="M173" s="472" t="s">
        <v>2108</v>
      </c>
      <c r="O173" s="444"/>
    </row>
    <row r="174" spans="1:80" ht="12.75">
      <c r="A174" s="461">
        <v>56</v>
      </c>
      <c r="B174" s="460" t="s">
        <v>967</v>
      </c>
      <c r="C174" s="459" t="s">
        <v>968</v>
      </c>
      <c r="D174" s="458" t="s">
        <v>145</v>
      </c>
      <c r="E174" s="457">
        <v>4.632</v>
      </c>
      <c r="F174" s="457">
        <v>0</v>
      </c>
      <c r="G174" s="456">
        <f>E174*F174</f>
        <v>0</v>
      </c>
      <c r="H174" s="455">
        <v>0.0192</v>
      </c>
      <c r="I174" s="454">
        <f>E174*H174</f>
        <v>0.08893439999999998</v>
      </c>
      <c r="J174" s="570"/>
      <c r="K174" s="571">
        <f>E174*J174</f>
        <v>0</v>
      </c>
      <c r="L174" s="436"/>
      <c r="O174" s="444">
        <v>2</v>
      </c>
      <c r="AA174" s="434">
        <v>3</v>
      </c>
      <c r="AB174" s="434">
        <v>7</v>
      </c>
      <c r="AC174" s="434">
        <v>597642031</v>
      </c>
      <c r="AZ174" s="434">
        <v>2</v>
      </c>
      <c r="BA174" s="434">
        <f>IF(AZ174=1,G174,0)</f>
        <v>0</v>
      </c>
      <c r="BB174" s="434">
        <f>IF(AZ174=2,G174,0)</f>
        <v>0</v>
      </c>
      <c r="BC174" s="434">
        <f>IF(AZ174=3,G174,0)</f>
        <v>0</v>
      </c>
      <c r="BD174" s="434">
        <f>IF(AZ174=4,G174,0)</f>
        <v>0</v>
      </c>
      <c r="BE174" s="434">
        <f>IF(AZ174=5,G174,0)</f>
        <v>0</v>
      </c>
      <c r="CA174" s="444">
        <v>3</v>
      </c>
      <c r="CB174" s="444">
        <v>7</v>
      </c>
    </row>
    <row r="175" spans="1:15" ht="12.75">
      <c r="A175" s="478"/>
      <c r="B175" s="477"/>
      <c r="C175" s="1621" t="s">
        <v>2160</v>
      </c>
      <c r="D175" s="1589"/>
      <c r="E175" s="476">
        <v>3.78</v>
      </c>
      <c r="F175" s="475"/>
      <c r="G175" s="230"/>
      <c r="H175" s="474"/>
      <c r="I175" s="473"/>
      <c r="J175" s="569"/>
      <c r="K175" s="572"/>
      <c r="L175" s="436"/>
      <c r="M175" s="472" t="s">
        <v>2160</v>
      </c>
      <c r="O175" s="444"/>
    </row>
    <row r="176" spans="1:15" ht="12.75">
      <c r="A176" s="478"/>
      <c r="B176" s="477"/>
      <c r="C176" s="1621" t="s">
        <v>2161</v>
      </c>
      <c r="D176" s="1589"/>
      <c r="E176" s="476">
        <v>0.852</v>
      </c>
      <c r="F176" s="475"/>
      <c r="G176" s="230"/>
      <c r="H176" s="474"/>
      <c r="I176" s="473"/>
      <c r="J176" s="569"/>
      <c r="K176" s="572"/>
      <c r="L176" s="436"/>
      <c r="M176" s="472" t="s">
        <v>2161</v>
      </c>
      <c r="O176" s="444"/>
    </row>
    <row r="177" spans="1:80" ht="12.75">
      <c r="A177" s="461">
        <v>57</v>
      </c>
      <c r="B177" s="460" t="s">
        <v>972</v>
      </c>
      <c r="C177" s="459" t="s">
        <v>973</v>
      </c>
      <c r="D177" s="458" t="s">
        <v>9</v>
      </c>
      <c r="E177" s="457"/>
      <c r="F177" s="457">
        <v>0</v>
      </c>
      <c r="G177" s="456">
        <f>E177*F177</f>
        <v>0</v>
      </c>
      <c r="H177" s="455">
        <v>0</v>
      </c>
      <c r="I177" s="454">
        <f>E177*H177</f>
        <v>0</v>
      </c>
      <c r="J177" s="570"/>
      <c r="K177" s="571">
        <f>E177*J177</f>
        <v>0</v>
      </c>
      <c r="L177" s="436"/>
      <c r="O177" s="444">
        <v>2</v>
      </c>
      <c r="AA177" s="434">
        <v>7</v>
      </c>
      <c r="AB177" s="434">
        <v>1002</v>
      </c>
      <c r="AC177" s="434">
        <v>5</v>
      </c>
      <c r="AZ177" s="434">
        <v>2</v>
      </c>
      <c r="BA177" s="434">
        <f>IF(AZ177=1,G177,0)</f>
        <v>0</v>
      </c>
      <c r="BB177" s="434">
        <f>IF(AZ177=2,G177,0)</f>
        <v>0</v>
      </c>
      <c r="BC177" s="434">
        <f>IF(AZ177=3,G177,0)</f>
        <v>0</v>
      </c>
      <c r="BD177" s="434">
        <f>IF(AZ177=4,G177,0)</f>
        <v>0</v>
      </c>
      <c r="BE177" s="434">
        <f>IF(AZ177=5,G177,0)</f>
        <v>0</v>
      </c>
      <c r="CA177" s="444">
        <v>7</v>
      </c>
      <c r="CB177" s="444">
        <v>1002</v>
      </c>
    </row>
    <row r="178" spans="1:57" ht="12.75">
      <c r="A178" s="453"/>
      <c r="B178" s="452" t="s">
        <v>175</v>
      </c>
      <c r="C178" s="451" t="s">
        <v>974</v>
      </c>
      <c r="D178" s="450"/>
      <c r="E178" s="449"/>
      <c r="F178" s="448"/>
      <c r="G178" s="447">
        <f>SUM(G167:G177)</f>
        <v>0</v>
      </c>
      <c r="H178" s="446"/>
      <c r="I178" s="445">
        <f>SUM(I167:I177)</f>
        <v>0.10008539999999998</v>
      </c>
      <c r="J178" s="568"/>
      <c r="K178" s="576">
        <f>SUM(K167:K177)</f>
        <v>0</v>
      </c>
      <c r="L178" s="436"/>
      <c r="O178" s="444">
        <v>4</v>
      </c>
      <c r="BA178" s="443">
        <f>SUM(BA167:BA177)</f>
        <v>0</v>
      </c>
      <c r="BB178" s="443">
        <f>SUM(BB167:BB177)</f>
        <v>0</v>
      </c>
      <c r="BC178" s="443">
        <f>SUM(BC167:BC177)</f>
        <v>0</v>
      </c>
      <c r="BD178" s="443">
        <f>SUM(BD167:BD177)</f>
        <v>0</v>
      </c>
      <c r="BE178" s="443">
        <f>SUM(BE167:BE177)</f>
        <v>0</v>
      </c>
    </row>
    <row r="179" spans="1:15" ht="12.75">
      <c r="A179" s="471" t="s">
        <v>140</v>
      </c>
      <c r="B179" s="470" t="s">
        <v>994</v>
      </c>
      <c r="C179" s="469" t="s">
        <v>995</v>
      </c>
      <c r="D179" s="468"/>
      <c r="E179" s="467"/>
      <c r="F179" s="467"/>
      <c r="G179" s="466"/>
      <c r="H179" s="465"/>
      <c r="I179" s="464"/>
      <c r="J179" s="568"/>
      <c r="K179" s="569"/>
      <c r="L179" s="436"/>
      <c r="O179" s="444">
        <v>1</v>
      </c>
    </row>
    <row r="180" spans="1:80" ht="12.75">
      <c r="A180" s="461">
        <v>58</v>
      </c>
      <c r="B180" s="460" t="s">
        <v>2162</v>
      </c>
      <c r="C180" s="459" t="s">
        <v>2163</v>
      </c>
      <c r="D180" s="458" t="s">
        <v>145</v>
      </c>
      <c r="E180" s="457">
        <v>3.6</v>
      </c>
      <c r="F180" s="457">
        <v>0</v>
      </c>
      <c r="G180" s="456">
        <f>E180*F180</f>
        <v>0</v>
      </c>
      <c r="H180" s="455">
        <v>0.00041</v>
      </c>
      <c r="I180" s="454">
        <f>E180*H180</f>
        <v>0.001476</v>
      </c>
      <c r="J180" s="570">
        <v>0</v>
      </c>
      <c r="K180" s="571">
        <f>E180*J180</f>
        <v>0</v>
      </c>
      <c r="L180" s="436"/>
      <c r="O180" s="444">
        <v>2</v>
      </c>
      <c r="AA180" s="434">
        <v>1</v>
      </c>
      <c r="AB180" s="434">
        <v>7</v>
      </c>
      <c r="AC180" s="434">
        <v>7</v>
      </c>
      <c r="AZ180" s="434">
        <v>2</v>
      </c>
      <c r="BA180" s="434">
        <f>IF(AZ180=1,G180,0)</f>
        <v>0</v>
      </c>
      <c r="BB180" s="434">
        <f>IF(AZ180=2,G180,0)</f>
        <v>0</v>
      </c>
      <c r="BC180" s="434">
        <f>IF(AZ180=3,G180,0)</f>
        <v>0</v>
      </c>
      <c r="BD180" s="434">
        <f>IF(AZ180=4,G180,0)</f>
        <v>0</v>
      </c>
      <c r="BE180" s="434">
        <f>IF(AZ180=5,G180,0)</f>
        <v>0</v>
      </c>
      <c r="CA180" s="444">
        <v>1</v>
      </c>
      <c r="CB180" s="444">
        <v>7</v>
      </c>
    </row>
    <row r="181" spans="1:15" ht="12.75">
      <c r="A181" s="478"/>
      <c r="B181" s="477"/>
      <c r="C181" s="1621" t="s">
        <v>2164</v>
      </c>
      <c r="D181" s="1589"/>
      <c r="E181" s="476">
        <v>3.6</v>
      </c>
      <c r="F181" s="475"/>
      <c r="G181" s="230"/>
      <c r="H181" s="474"/>
      <c r="I181" s="473"/>
      <c r="J181" s="569"/>
      <c r="K181" s="572"/>
      <c r="L181" s="436"/>
      <c r="M181" s="472" t="s">
        <v>2164</v>
      </c>
      <c r="O181" s="444"/>
    </row>
    <row r="182" spans="1:57" ht="12.75">
      <c r="A182" s="453"/>
      <c r="B182" s="452" t="s">
        <v>175</v>
      </c>
      <c r="C182" s="451" t="s">
        <v>1002</v>
      </c>
      <c r="D182" s="450"/>
      <c r="E182" s="449"/>
      <c r="F182" s="448"/>
      <c r="G182" s="447">
        <f>SUM(G179:G181)</f>
        <v>0</v>
      </c>
      <c r="H182" s="446"/>
      <c r="I182" s="445">
        <f>SUM(I179:I181)</f>
        <v>0.001476</v>
      </c>
      <c r="J182" s="568"/>
      <c r="K182" s="576">
        <f>SUM(K179:K181)</f>
        <v>0</v>
      </c>
      <c r="O182" s="444">
        <v>4</v>
      </c>
      <c r="BA182" s="443">
        <f>SUM(BA179:BA181)</f>
        <v>0</v>
      </c>
      <c r="BB182" s="443">
        <f>SUM(BB179:BB181)</f>
        <v>0</v>
      </c>
      <c r="BC182" s="443">
        <f>SUM(BC179:BC181)</f>
        <v>0</v>
      </c>
      <c r="BD182" s="443">
        <f>SUM(BD179:BD181)</f>
        <v>0</v>
      </c>
      <c r="BE182" s="443">
        <f>SUM(BE179:BE181)</f>
        <v>0</v>
      </c>
    </row>
    <row r="183" spans="1:15" ht="12.75">
      <c r="A183" s="471" t="s">
        <v>140</v>
      </c>
      <c r="B183" s="470" t="s">
        <v>1021</v>
      </c>
      <c r="C183" s="469" t="s">
        <v>1022</v>
      </c>
      <c r="D183" s="468"/>
      <c r="E183" s="467"/>
      <c r="F183" s="467"/>
      <c r="G183" s="466"/>
      <c r="H183" s="465"/>
      <c r="I183" s="464"/>
      <c r="J183" s="568"/>
      <c r="K183" s="569"/>
      <c r="O183" s="444">
        <v>1</v>
      </c>
    </row>
    <row r="184" spans="1:80" ht="12.75">
      <c r="A184" s="1551">
        <v>59</v>
      </c>
      <c r="B184" s="1552" t="s">
        <v>2165</v>
      </c>
      <c r="C184" s="1553" t="s">
        <v>2166</v>
      </c>
      <c r="D184" s="1554" t="s">
        <v>181</v>
      </c>
      <c r="E184" s="1555">
        <v>1</v>
      </c>
      <c r="F184" s="1555">
        <v>0</v>
      </c>
      <c r="G184" s="1556">
        <f>E184*F184</f>
        <v>0</v>
      </c>
      <c r="H184" s="455">
        <v>0</v>
      </c>
      <c r="I184" s="454">
        <f>E184*H184</f>
        <v>0</v>
      </c>
      <c r="J184" s="570">
        <v>0</v>
      </c>
      <c r="K184" s="571">
        <f>E184*J184</f>
        <v>0</v>
      </c>
      <c r="O184" s="444">
        <v>2</v>
      </c>
      <c r="AA184" s="434">
        <v>1</v>
      </c>
      <c r="AB184" s="434">
        <v>9</v>
      </c>
      <c r="AC184" s="434">
        <v>9</v>
      </c>
      <c r="AZ184" s="434">
        <v>4</v>
      </c>
      <c r="BA184" s="434">
        <f>IF(AZ184=1,G184,0)</f>
        <v>0</v>
      </c>
      <c r="BB184" s="434">
        <f>IF(AZ184=2,G184,0)</f>
        <v>0</v>
      </c>
      <c r="BC184" s="434">
        <f>IF(AZ184=3,G184,0)</f>
        <v>0</v>
      </c>
      <c r="BD184" s="434">
        <f>IF(AZ184=4,G184,0)</f>
        <v>0</v>
      </c>
      <c r="BE184" s="434">
        <f>IF(AZ184=5,G184,0)</f>
        <v>0</v>
      </c>
      <c r="CA184" s="444">
        <v>1</v>
      </c>
      <c r="CB184" s="444">
        <v>9</v>
      </c>
    </row>
    <row r="185" spans="1:80" ht="12.75">
      <c r="A185" s="461">
        <v>60</v>
      </c>
      <c r="B185" s="460" t="s">
        <v>2167</v>
      </c>
      <c r="C185" s="459" t="s">
        <v>2168</v>
      </c>
      <c r="D185" s="458" t="s">
        <v>181</v>
      </c>
      <c r="E185" s="457">
        <v>1</v>
      </c>
      <c r="F185" s="457">
        <v>0</v>
      </c>
      <c r="G185" s="456">
        <f>E185*F185</f>
        <v>0</v>
      </c>
      <c r="H185" s="455">
        <v>0</v>
      </c>
      <c r="I185" s="454">
        <f>E185*H185</f>
        <v>0</v>
      </c>
      <c r="J185" s="570">
        <v>0</v>
      </c>
      <c r="K185" s="571">
        <f>E185*J185</f>
        <v>0</v>
      </c>
      <c r="O185" s="444">
        <v>2</v>
      </c>
      <c r="AA185" s="434">
        <v>1</v>
      </c>
      <c r="AB185" s="434">
        <v>9</v>
      </c>
      <c r="AC185" s="434">
        <v>9</v>
      </c>
      <c r="AZ185" s="434">
        <v>4</v>
      </c>
      <c r="BA185" s="434">
        <f>IF(AZ185=1,G185,0)</f>
        <v>0</v>
      </c>
      <c r="BB185" s="434">
        <f>IF(AZ185=2,G185,0)</f>
        <v>0</v>
      </c>
      <c r="BC185" s="434">
        <f>IF(AZ185=3,G185,0)</f>
        <v>0</v>
      </c>
      <c r="BD185" s="434">
        <f>IF(AZ185=4,G185,0)</f>
        <v>0</v>
      </c>
      <c r="BE185" s="434">
        <f>IF(AZ185=5,G185,0)</f>
        <v>0</v>
      </c>
      <c r="CA185" s="444">
        <v>1</v>
      </c>
      <c r="CB185" s="444">
        <v>9</v>
      </c>
    </row>
    <row r="186" spans="1:80" ht="12.75">
      <c r="A186" s="1551">
        <v>61</v>
      </c>
      <c r="B186" s="1552" t="s">
        <v>2169</v>
      </c>
      <c r="C186" s="1553" t="s">
        <v>2170</v>
      </c>
      <c r="D186" s="1554" t="s">
        <v>181</v>
      </c>
      <c r="E186" s="1555">
        <v>1</v>
      </c>
      <c r="F186" s="1555">
        <v>0</v>
      </c>
      <c r="G186" s="1556">
        <f>E186*F186</f>
        <v>0</v>
      </c>
      <c r="H186" s="455">
        <v>0</v>
      </c>
      <c r="I186" s="454">
        <f>E186*H186</f>
        <v>0</v>
      </c>
      <c r="J186" s="570">
        <v>0</v>
      </c>
      <c r="K186" s="571">
        <f>E186*J186</f>
        <v>0</v>
      </c>
      <c r="O186" s="444">
        <v>2</v>
      </c>
      <c r="AA186" s="434">
        <v>1</v>
      </c>
      <c r="AB186" s="434">
        <v>9</v>
      </c>
      <c r="AC186" s="434">
        <v>9</v>
      </c>
      <c r="AZ186" s="434">
        <v>4</v>
      </c>
      <c r="BA186" s="434">
        <f>IF(AZ186=1,G186,0)</f>
        <v>0</v>
      </c>
      <c r="BB186" s="434">
        <f>IF(AZ186=2,G186,0)</f>
        <v>0</v>
      </c>
      <c r="BC186" s="434">
        <f>IF(AZ186=3,G186,0)</f>
        <v>0</v>
      </c>
      <c r="BD186" s="434">
        <f>IF(AZ186=4,G186,0)</f>
        <v>0</v>
      </c>
      <c r="BE186" s="434">
        <f>IF(AZ186=5,G186,0)</f>
        <v>0</v>
      </c>
      <c r="CA186" s="444">
        <v>1</v>
      </c>
      <c r="CB186" s="444">
        <v>9</v>
      </c>
    </row>
    <row r="187" spans="1:57" ht="12.75">
      <c r="A187" s="453"/>
      <c r="B187" s="452" t="s">
        <v>175</v>
      </c>
      <c r="C187" s="451" t="s">
        <v>1027</v>
      </c>
      <c r="D187" s="450"/>
      <c r="E187" s="449"/>
      <c r="F187" s="448"/>
      <c r="G187" s="447">
        <f>SUM(G183:G186)</f>
        <v>0</v>
      </c>
      <c r="H187" s="446"/>
      <c r="I187" s="445">
        <f>SUM(I183:I186)</f>
        <v>0</v>
      </c>
      <c r="J187" s="568"/>
      <c r="K187" s="576">
        <f>SUM(K183:K186)</f>
        <v>0</v>
      </c>
      <c r="O187" s="444">
        <v>4</v>
      </c>
      <c r="BA187" s="443">
        <f>SUM(BA183:BA186)</f>
        <v>0</v>
      </c>
      <c r="BB187" s="443">
        <f>SUM(BB183:BB186)</f>
        <v>0</v>
      </c>
      <c r="BC187" s="443">
        <f>SUM(BC183:BC186)</f>
        <v>0</v>
      </c>
      <c r="BD187" s="443">
        <f>SUM(BD183:BD186)</f>
        <v>0</v>
      </c>
      <c r="BE187" s="443">
        <f>SUM(BE183:BE186)</f>
        <v>0</v>
      </c>
    </row>
    <row r="188" spans="1:15" ht="12.75">
      <c r="A188" s="471" t="s">
        <v>140</v>
      </c>
      <c r="B188" s="470" t="s">
        <v>266</v>
      </c>
      <c r="C188" s="469" t="s">
        <v>267</v>
      </c>
      <c r="D188" s="468"/>
      <c r="E188" s="467"/>
      <c r="F188" s="467"/>
      <c r="G188" s="466"/>
      <c r="H188" s="465"/>
      <c r="I188" s="464"/>
      <c r="J188" s="568"/>
      <c r="K188" s="569"/>
      <c r="O188" s="444">
        <v>1</v>
      </c>
    </row>
    <row r="189" spans="1:80" ht="12.75">
      <c r="A189" s="461">
        <v>62</v>
      </c>
      <c r="B189" s="460" t="s">
        <v>268</v>
      </c>
      <c r="C189" s="459" t="s">
        <v>269</v>
      </c>
      <c r="D189" s="458" t="s">
        <v>166</v>
      </c>
      <c r="E189" s="457">
        <v>8.559166</v>
      </c>
      <c r="F189" s="457">
        <v>0</v>
      </c>
      <c r="G189" s="456">
        <f>E189*F189</f>
        <v>0</v>
      </c>
      <c r="H189" s="455">
        <v>0</v>
      </c>
      <c r="I189" s="454">
        <f>E189*H189</f>
        <v>0</v>
      </c>
      <c r="J189" s="570"/>
      <c r="K189" s="571">
        <f>E189*J189</f>
        <v>0</v>
      </c>
      <c r="O189" s="444">
        <v>2</v>
      </c>
      <c r="AA189" s="434">
        <v>8</v>
      </c>
      <c r="AB189" s="434">
        <v>0</v>
      </c>
      <c r="AC189" s="434">
        <v>3</v>
      </c>
      <c r="AZ189" s="434">
        <v>1</v>
      </c>
      <c r="BA189" s="434">
        <f>IF(AZ189=1,G189,0)</f>
        <v>0</v>
      </c>
      <c r="BB189" s="434">
        <f>IF(AZ189=2,G189,0)</f>
        <v>0</v>
      </c>
      <c r="BC189" s="434">
        <f>IF(AZ189=3,G189,0)</f>
        <v>0</v>
      </c>
      <c r="BD189" s="434">
        <f>IF(AZ189=4,G189,0)</f>
        <v>0</v>
      </c>
      <c r="BE189" s="434">
        <f>IF(AZ189=5,G189,0)</f>
        <v>0</v>
      </c>
      <c r="CA189" s="444">
        <v>8</v>
      </c>
      <c r="CB189" s="444">
        <v>0</v>
      </c>
    </row>
    <row r="190" spans="1:80" ht="12.75">
      <c r="A190" s="461">
        <v>63</v>
      </c>
      <c r="B190" s="460" t="s">
        <v>270</v>
      </c>
      <c r="C190" s="459" t="s">
        <v>271</v>
      </c>
      <c r="D190" s="458" t="s">
        <v>166</v>
      </c>
      <c r="E190" s="457">
        <v>162.624154</v>
      </c>
      <c r="F190" s="457">
        <v>0</v>
      </c>
      <c r="G190" s="456">
        <f>E190*F190</f>
        <v>0</v>
      </c>
      <c r="H190" s="455">
        <v>0</v>
      </c>
      <c r="I190" s="454">
        <f>E190*H190</f>
        <v>0</v>
      </c>
      <c r="J190" s="570"/>
      <c r="K190" s="571">
        <f>E190*J190</f>
        <v>0</v>
      </c>
      <c r="O190" s="444">
        <v>2</v>
      </c>
      <c r="AA190" s="434">
        <v>8</v>
      </c>
      <c r="AB190" s="434">
        <v>0</v>
      </c>
      <c r="AC190" s="434">
        <v>3</v>
      </c>
      <c r="AZ190" s="434">
        <v>1</v>
      </c>
      <c r="BA190" s="434">
        <f>IF(AZ190=1,G190,0)</f>
        <v>0</v>
      </c>
      <c r="BB190" s="434">
        <f>IF(AZ190=2,G190,0)</f>
        <v>0</v>
      </c>
      <c r="BC190" s="434">
        <f>IF(AZ190=3,G190,0)</f>
        <v>0</v>
      </c>
      <c r="BD190" s="434">
        <f>IF(AZ190=4,G190,0)</f>
        <v>0</v>
      </c>
      <c r="BE190" s="434">
        <f>IF(AZ190=5,G190,0)</f>
        <v>0</v>
      </c>
      <c r="CA190" s="444">
        <v>8</v>
      </c>
      <c r="CB190" s="444">
        <v>0</v>
      </c>
    </row>
    <row r="191" spans="1:80" ht="12.75">
      <c r="A191" s="461">
        <v>64</v>
      </c>
      <c r="B191" s="460" t="s">
        <v>272</v>
      </c>
      <c r="C191" s="459" t="s">
        <v>2171</v>
      </c>
      <c r="D191" s="458" t="s">
        <v>166</v>
      </c>
      <c r="E191" s="457">
        <v>8.559166</v>
      </c>
      <c r="F191" s="457">
        <v>0</v>
      </c>
      <c r="G191" s="456">
        <f>E191*F191</f>
        <v>0</v>
      </c>
      <c r="H191" s="455">
        <v>0</v>
      </c>
      <c r="I191" s="454">
        <f>E191*H191</f>
        <v>0</v>
      </c>
      <c r="J191" s="570"/>
      <c r="K191" s="571">
        <f>E191*J191</f>
        <v>0</v>
      </c>
      <c r="O191" s="444">
        <v>2</v>
      </c>
      <c r="AA191" s="434">
        <v>8</v>
      </c>
      <c r="AB191" s="434">
        <v>0</v>
      </c>
      <c r="AC191" s="434">
        <v>3</v>
      </c>
      <c r="AZ191" s="434">
        <v>1</v>
      </c>
      <c r="BA191" s="434">
        <f>IF(AZ191=1,G191,0)</f>
        <v>0</v>
      </c>
      <c r="BB191" s="434">
        <f>IF(AZ191=2,G191,0)</f>
        <v>0</v>
      </c>
      <c r="BC191" s="434">
        <f>IF(AZ191=3,G191,0)</f>
        <v>0</v>
      </c>
      <c r="BD191" s="434">
        <f>IF(AZ191=4,G191,0)</f>
        <v>0</v>
      </c>
      <c r="BE191" s="434">
        <f>IF(AZ191=5,G191,0)</f>
        <v>0</v>
      </c>
      <c r="CA191" s="444">
        <v>8</v>
      </c>
      <c r="CB191" s="444">
        <v>0</v>
      </c>
    </row>
    <row r="192" spans="1:80" ht="20.4">
      <c r="A192" s="461">
        <v>65</v>
      </c>
      <c r="B192" s="460" t="s">
        <v>274</v>
      </c>
      <c r="C192" s="459" t="s">
        <v>2172</v>
      </c>
      <c r="D192" s="458" t="s">
        <v>166</v>
      </c>
      <c r="E192" s="457">
        <v>42.79583</v>
      </c>
      <c r="F192" s="457">
        <v>0</v>
      </c>
      <c r="G192" s="456">
        <f>E192*F192</f>
        <v>0</v>
      </c>
      <c r="H192" s="455">
        <v>0</v>
      </c>
      <c r="I192" s="454">
        <f>E192*H192</f>
        <v>0</v>
      </c>
      <c r="J192" s="570"/>
      <c r="K192" s="571">
        <f>E192*J192</f>
        <v>0</v>
      </c>
      <c r="O192" s="444">
        <v>2</v>
      </c>
      <c r="AA192" s="434">
        <v>8</v>
      </c>
      <c r="AB192" s="434">
        <v>0</v>
      </c>
      <c r="AC192" s="434">
        <v>3</v>
      </c>
      <c r="AZ192" s="434">
        <v>1</v>
      </c>
      <c r="BA192" s="434">
        <f>IF(AZ192=1,G192,0)</f>
        <v>0</v>
      </c>
      <c r="BB192" s="434">
        <f>IF(AZ192=2,G192,0)</f>
        <v>0</v>
      </c>
      <c r="BC192" s="434">
        <f>IF(AZ192=3,G192,0)</f>
        <v>0</v>
      </c>
      <c r="BD192" s="434">
        <f>IF(AZ192=4,G192,0)</f>
        <v>0</v>
      </c>
      <c r="BE192" s="434">
        <f>IF(AZ192=5,G192,0)</f>
        <v>0</v>
      </c>
      <c r="CA192" s="444">
        <v>8</v>
      </c>
      <c r="CB192" s="444">
        <v>0</v>
      </c>
    </row>
    <row r="193" spans="1:80" ht="12.75">
      <c r="A193" s="461">
        <v>66</v>
      </c>
      <c r="B193" s="460" t="s">
        <v>276</v>
      </c>
      <c r="C193" s="459" t="s">
        <v>2173</v>
      </c>
      <c r="D193" s="458" t="s">
        <v>166</v>
      </c>
      <c r="E193" s="457">
        <v>8.559166</v>
      </c>
      <c r="F193" s="457">
        <v>0</v>
      </c>
      <c r="G193" s="456">
        <f>E193*F193</f>
        <v>0</v>
      </c>
      <c r="H193" s="455">
        <v>0</v>
      </c>
      <c r="I193" s="454">
        <f>E193*H193</f>
        <v>0</v>
      </c>
      <c r="J193" s="570"/>
      <c r="K193" s="571">
        <f>E193*J193</f>
        <v>0</v>
      </c>
      <c r="O193" s="444">
        <v>2</v>
      </c>
      <c r="AA193" s="434">
        <v>8</v>
      </c>
      <c r="AB193" s="434">
        <v>0</v>
      </c>
      <c r="AC193" s="434">
        <v>3</v>
      </c>
      <c r="AZ193" s="434">
        <v>1</v>
      </c>
      <c r="BA193" s="434">
        <f>IF(AZ193=1,G193,0)</f>
        <v>0</v>
      </c>
      <c r="BB193" s="434">
        <f>IF(AZ193=2,G193,0)</f>
        <v>0</v>
      </c>
      <c r="BC193" s="434">
        <f>IF(AZ193=3,G193,0)</f>
        <v>0</v>
      </c>
      <c r="BD193" s="434">
        <f>IF(AZ193=4,G193,0)</f>
        <v>0</v>
      </c>
      <c r="BE193" s="434">
        <f>IF(AZ193=5,G193,0)</f>
        <v>0</v>
      </c>
      <c r="CA193" s="444">
        <v>8</v>
      </c>
      <c r="CB193" s="444">
        <v>0</v>
      </c>
    </row>
    <row r="194" spans="1:57" ht="12.75">
      <c r="A194" s="453"/>
      <c r="B194" s="452" t="s">
        <v>175</v>
      </c>
      <c r="C194" s="451" t="s">
        <v>278</v>
      </c>
      <c r="D194" s="450"/>
      <c r="E194" s="449"/>
      <c r="F194" s="448"/>
      <c r="G194" s="447">
        <f>SUM(G188:G193)</f>
        <v>0</v>
      </c>
      <c r="H194" s="446"/>
      <c r="I194" s="445">
        <f>SUM(I188:I193)</f>
        <v>0</v>
      </c>
      <c r="J194" s="568"/>
      <c r="K194" s="576">
        <f>SUM(K188:K193)</f>
        <v>0</v>
      </c>
      <c r="O194" s="444">
        <v>4</v>
      </c>
      <c r="BA194" s="443">
        <f>SUM(BA188:BA193)</f>
        <v>0</v>
      </c>
      <c r="BB194" s="443">
        <f>SUM(BB188:BB193)</f>
        <v>0</v>
      </c>
      <c r="BC194" s="443">
        <f>SUM(BC188:BC193)</f>
        <v>0</v>
      </c>
      <c r="BD194" s="443">
        <f>SUM(BD188:BD193)</f>
        <v>0</v>
      </c>
      <c r="BE194" s="443">
        <f>SUM(BE188:BE193)</f>
        <v>0</v>
      </c>
    </row>
    <row r="195" spans="5:11" ht="12.75">
      <c r="E195" s="434"/>
      <c r="J195" s="574"/>
      <c r="K195" s="574"/>
    </row>
    <row r="196" spans="5:11" ht="12.75">
      <c r="E196" s="434"/>
      <c r="J196" s="574"/>
      <c r="K196" s="574"/>
    </row>
    <row r="197" spans="5:11" ht="12.75">
      <c r="E197" s="434"/>
      <c r="J197" s="574"/>
      <c r="K197" s="574"/>
    </row>
    <row r="198" spans="5:11" ht="12.75">
      <c r="E198" s="434"/>
      <c r="J198" s="574"/>
      <c r="K198" s="574"/>
    </row>
    <row r="199" spans="5:11" ht="12.75">
      <c r="E199" s="434"/>
      <c r="J199" s="574"/>
      <c r="K199" s="574"/>
    </row>
    <row r="200" spans="5:11" ht="12.75">
      <c r="E200" s="434"/>
      <c r="J200" s="574"/>
      <c r="K200" s="574"/>
    </row>
    <row r="201" spans="5:11" ht="12.75">
      <c r="E201" s="434"/>
      <c r="J201" s="574"/>
      <c r="K201" s="574"/>
    </row>
    <row r="202" spans="5:11" ht="12.75">
      <c r="E202" s="434"/>
      <c r="J202" s="574"/>
      <c r="K202" s="574"/>
    </row>
    <row r="203" spans="5:11" ht="12.75">
      <c r="E203" s="434"/>
      <c r="J203" s="574"/>
      <c r="K203" s="574"/>
    </row>
    <row r="204" spans="5:11" ht="12.75">
      <c r="E204" s="434"/>
      <c r="J204" s="574"/>
      <c r="K204" s="574"/>
    </row>
    <row r="205" spans="5:11" ht="12.75">
      <c r="E205" s="434"/>
      <c r="J205" s="574"/>
      <c r="K205" s="574"/>
    </row>
    <row r="206" spans="5:11" ht="12.75">
      <c r="E206" s="434"/>
      <c r="J206" s="574"/>
      <c r="K206" s="574"/>
    </row>
    <row r="207" spans="5:11" ht="12.75">
      <c r="E207" s="434"/>
      <c r="J207" s="574"/>
      <c r="K207" s="574"/>
    </row>
    <row r="208" spans="5:11" ht="12.75">
      <c r="E208" s="434"/>
      <c r="J208" s="574"/>
      <c r="K208" s="574"/>
    </row>
    <row r="209" spans="5:11" ht="12.75">
      <c r="E209" s="434"/>
      <c r="J209" s="574"/>
      <c r="K209" s="574"/>
    </row>
    <row r="210" spans="5:11" ht="12.75">
      <c r="E210" s="434"/>
      <c r="J210" s="574"/>
      <c r="K210" s="574"/>
    </row>
    <row r="211" spans="5:11" ht="12.75">
      <c r="E211" s="434"/>
      <c r="J211" s="574"/>
      <c r="K211" s="574"/>
    </row>
    <row r="212" spans="5:11" ht="12.75">
      <c r="E212" s="434"/>
      <c r="J212" s="574"/>
      <c r="K212" s="574"/>
    </row>
    <row r="213" spans="5:11" ht="12.75">
      <c r="E213" s="434"/>
      <c r="J213" s="574"/>
      <c r="K213" s="574"/>
    </row>
    <row r="214" spans="5:11" ht="12.75">
      <c r="E214" s="434"/>
      <c r="J214" s="574"/>
      <c r="K214" s="574"/>
    </row>
    <row r="215" spans="5:11" ht="12.75">
      <c r="E215" s="434"/>
      <c r="J215" s="574"/>
      <c r="K215" s="574"/>
    </row>
    <row r="216" spans="5:11" ht="12.75">
      <c r="E216" s="434"/>
      <c r="J216" s="574"/>
      <c r="K216" s="574"/>
    </row>
    <row r="217" spans="5:11" ht="12.75">
      <c r="E217" s="434"/>
      <c r="J217" s="574"/>
      <c r="K217" s="574"/>
    </row>
    <row r="218" spans="1:11" ht="12.75">
      <c r="A218" s="436"/>
      <c r="B218" s="436"/>
      <c r="C218" s="436"/>
      <c r="D218" s="436"/>
      <c r="E218" s="436"/>
      <c r="F218" s="436"/>
      <c r="G218" s="436"/>
      <c r="J218" s="574"/>
      <c r="K218" s="574"/>
    </row>
    <row r="219" spans="1:11" ht="12.75">
      <c r="A219" s="436"/>
      <c r="B219" s="436"/>
      <c r="C219" s="436"/>
      <c r="D219" s="436"/>
      <c r="E219" s="436"/>
      <c r="F219" s="436"/>
      <c r="G219" s="436"/>
      <c r="J219" s="574"/>
      <c r="K219" s="574"/>
    </row>
    <row r="220" spans="1:11" ht="12.75">
      <c r="A220" s="436"/>
      <c r="B220" s="436"/>
      <c r="C220" s="436"/>
      <c r="D220" s="436"/>
      <c r="E220" s="436"/>
      <c r="F220" s="436"/>
      <c r="G220" s="436"/>
      <c r="J220" s="574"/>
      <c r="K220" s="574"/>
    </row>
    <row r="221" spans="1:11" ht="12.75">
      <c r="A221" s="436"/>
      <c r="B221" s="436"/>
      <c r="C221" s="436"/>
      <c r="D221" s="436"/>
      <c r="E221" s="436"/>
      <c r="F221" s="436"/>
      <c r="G221" s="436"/>
      <c r="J221" s="574"/>
      <c r="K221" s="574"/>
    </row>
    <row r="222" spans="5:11" ht="12.75">
      <c r="E222" s="434"/>
      <c r="J222" s="574"/>
      <c r="K222" s="574"/>
    </row>
    <row r="223" spans="5:11" ht="12.75">
      <c r="E223" s="434"/>
      <c r="J223" s="574"/>
      <c r="K223" s="574"/>
    </row>
    <row r="224" spans="5:11" ht="12.75">
      <c r="E224" s="434"/>
      <c r="J224" s="574"/>
      <c r="K224" s="574"/>
    </row>
    <row r="225" spans="5:11" ht="12.75">
      <c r="E225" s="434"/>
      <c r="J225" s="574"/>
      <c r="K225" s="574"/>
    </row>
    <row r="226" spans="5:11" ht="12.75">
      <c r="E226" s="434"/>
      <c r="J226" s="574"/>
      <c r="K226" s="574"/>
    </row>
    <row r="227" spans="5:11" ht="12.75">
      <c r="E227" s="434"/>
      <c r="J227" s="574"/>
      <c r="K227" s="574"/>
    </row>
    <row r="228" spans="5:11" ht="12.75">
      <c r="E228" s="434"/>
      <c r="J228" s="574"/>
      <c r="K228" s="574"/>
    </row>
    <row r="229" spans="5:11" ht="12.75">
      <c r="E229" s="434"/>
      <c r="J229" s="574"/>
      <c r="K229" s="574"/>
    </row>
    <row r="230" spans="5:11" ht="12.75">
      <c r="E230" s="434"/>
      <c r="J230" s="574"/>
      <c r="K230" s="574"/>
    </row>
    <row r="231" spans="5:11" ht="12.75">
      <c r="E231" s="434"/>
      <c r="J231" s="574"/>
      <c r="K231" s="574"/>
    </row>
    <row r="232" spans="5:11" ht="12.75">
      <c r="E232" s="434"/>
      <c r="J232" s="574"/>
      <c r="K232" s="574"/>
    </row>
    <row r="233" spans="5:11" ht="12.75">
      <c r="E233" s="434"/>
      <c r="J233" s="574"/>
      <c r="K233" s="574"/>
    </row>
    <row r="234" spans="5:11" ht="12.75">
      <c r="E234" s="434"/>
      <c r="J234" s="574"/>
      <c r="K234" s="574"/>
    </row>
    <row r="235" spans="5:11" ht="12.75">
      <c r="E235" s="434"/>
      <c r="J235" s="574"/>
      <c r="K235" s="574"/>
    </row>
    <row r="236" spans="5:11" ht="12.75">
      <c r="E236" s="434"/>
      <c r="J236" s="574"/>
      <c r="K236" s="574"/>
    </row>
    <row r="237" spans="5:11" ht="12.75">
      <c r="E237" s="434"/>
      <c r="J237" s="574"/>
      <c r="K237" s="574"/>
    </row>
    <row r="238" spans="5:11" ht="12.75">
      <c r="E238" s="434"/>
      <c r="J238" s="574"/>
      <c r="K238" s="574"/>
    </row>
    <row r="239" spans="5:11" ht="12.75">
      <c r="E239" s="434"/>
      <c r="J239" s="574"/>
      <c r="K239" s="574"/>
    </row>
    <row r="240" spans="5:11" ht="12.75">
      <c r="E240" s="434"/>
      <c r="J240" s="574"/>
      <c r="K240" s="574"/>
    </row>
    <row r="241" spans="5:11" ht="12.75">
      <c r="E241" s="434"/>
      <c r="J241" s="574"/>
      <c r="K241" s="574"/>
    </row>
    <row r="242" spans="5:11" ht="12.75">
      <c r="E242" s="434"/>
      <c r="J242" s="574"/>
      <c r="K242" s="574"/>
    </row>
    <row r="243" spans="5:11" ht="12.75">
      <c r="E243" s="434"/>
      <c r="J243" s="574"/>
      <c r="K243" s="574"/>
    </row>
    <row r="244" spans="5:11" ht="12.75">
      <c r="E244" s="434"/>
      <c r="J244" s="574"/>
      <c r="K244" s="574"/>
    </row>
    <row r="245" spans="5:11" ht="12.75">
      <c r="E245" s="434"/>
      <c r="J245" s="574"/>
      <c r="K245" s="574"/>
    </row>
    <row r="246" spans="5:11" ht="12.75">
      <c r="E246" s="434"/>
      <c r="J246" s="574"/>
      <c r="K246" s="574"/>
    </row>
    <row r="247" spans="5:11" ht="12.75">
      <c r="E247" s="434"/>
      <c r="J247" s="574"/>
      <c r="K247" s="574"/>
    </row>
    <row r="248" spans="5:11" ht="12.75">
      <c r="E248" s="434"/>
      <c r="J248" s="574"/>
      <c r="K248" s="574"/>
    </row>
    <row r="249" spans="5:11" ht="12.75">
      <c r="E249" s="434"/>
      <c r="J249" s="574"/>
      <c r="K249" s="574"/>
    </row>
    <row r="250" spans="5:11" ht="12.75">
      <c r="E250" s="434"/>
      <c r="J250" s="574"/>
      <c r="K250" s="574"/>
    </row>
    <row r="251" spans="5:11" ht="12.75">
      <c r="E251" s="434"/>
      <c r="J251" s="574"/>
      <c r="K251" s="574"/>
    </row>
    <row r="252" spans="5:11" ht="12.75">
      <c r="E252" s="434"/>
      <c r="J252" s="574"/>
      <c r="K252" s="574"/>
    </row>
    <row r="253" spans="1:11" ht="12.75">
      <c r="A253" s="442"/>
      <c r="B253" s="442"/>
      <c r="J253" s="574"/>
      <c r="K253" s="574"/>
    </row>
    <row r="254" spans="1:11" ht="12.75">
      <c r="A254" s="436"/>
      <c r="B254" s="436"/>
      <c r="C254" s="440"/>
      <c r="D254" s="440"/>
      <c r="E254" s="441"/>
      <c r="F254" s="440"/>
      <c r="G254" s="439"/>
      <c r="J254" s="574"/>
      <c r="K254" s="574"/>
    </row>
    <row r="255" spans="1:11" ht="12.75">
      <c r="A255" s="438"/>
      <c r="B255" s="438"/>
      <c r="C255" s="436"/>
      <c r="D255" s="436"/>
      <c r="E255" s="437"/>
      <c r="F255" s="436"/>
      <c r="G255" s="436"/>
      <c r="J255" s="574"/>
      <c r="K255" s="574"/>
    </row>
    <row r="256" spans="1:11" ht="12.75">
      <c r="A256" s="436"/>
      <c r="B256" s="436"/>
      <c r="C256" s="436"/>
      <c r="D256" s="436"/>
      <c r="E256" s="437"/>
      <c r="F256" s="436"/>
      <c r="G256" s="436"/>
      <c r="J256" s="574"/>
      <c r="K256" s="574"/>
    </row>
    <row r="257" spans="1:7" ht="12.75">
      <c r="A257" s="436"/>
      <c r="B257" s="436"/>
      <c r="C257" s="436"/>
      <c r="D257" s="436"/>
      <c r="E257" s="437"/>
      <c r="F257" s="436"/>
      <c r="G257" s="436"/>
    </row>
    <row r="258" spans="1:7" ht="12.75">
      <c r="A258" s="436"/>
      <c r="B258" s="436"/>
      <c r="C258" s="436"/>
      <c r="D258" s="436"/>
      <c r="E258" s="437"/>
      <c r="F258" s="436"/>
      <c r="G258" s="436"/>
    </row>
    <row r="259" spans="1:7" ht="12.75">
      <c r="A259" s="436"/>
      <c r="B259" s="436"/>
      <c r="C259" s="436"/>
      <c r="D259" s="436"/>
      <c r="E259" s="437"/>
      <c r="F259" s="436"/>
      <c r="G259" s="436"/>
    </row>
    <row r="260" spans="1:7" ht="12.75">
      <c r="A260" s="436"/>
      <c r="B260" s="436"/>
      <c r="C260" s="436"/>
      <c r="D260" s="436"/>
      <c r="E260" s="437"/>
      <c r="F260" s="436"/>
      <c r="G260" s="436"/>
    </row>
    <row r="261" spans="1:7" ht="12.75">
      <c r="A261" s="436"/>
      <c r="B261" s="436"/>
      <c r="C261" s="436"/>
      <c r="D261" s="436"/>
      <c r="E261" s="437"/>
      <c r="F261" s="436"/>
      <c r="G261" s="436"/>
    </row>
    <row r="262" spans="1:7" ht="12.75">
      <c r="A262" s="436"/>
      <c r="B262" s="436"/>
      <c r="C262" s="436"/>
      <c r="D262" s="436"/>
      <c r="E262" s="437"/>
      <c r="F262" s="436"/>
      <c r="G262" s="436"/>
    </row>
    <row r="263" spans="1:7" ht="12.75">
      <c r="A263" s="436"/>
      <c r="B263" s="436"/>
      <c r="C263" s="436"/>
      <c r="D263" s="436"/>
      <c r="E263" s="437"/>
      <c r="F263" s="436"/>
      <c r="G263" s="436"/>
    </row>
    <row r="264" spans="1:7" ht="12.75">
      <c r="A264" s="436"/>
      <c r="B264" s="436"/>
      <c r="C264" s="436"/>
      <c r="D264" s="436"/>
      <c r="E264" s="437"/>
      <c r="F264" s="436"/>
      <c r="G264" s="436"/>
    </row>
    <row r="265" spans="1:7" ht="12.75">
      <c r="A265" s="436"/>
      <c r="B265" s="436"/>
      <c r="C265" s="436"/>
      <c r="D265" s="436"/>
      <c r="E265" s="437"/>
      <c r="F265" s="436"/>
      <c r="G265" s="436"/>
    </row>
    <row r="266" spans="1:7" ht="12.75">
      <c r="A266" s="436"/>
      <c r="B266" s="436"/>
      <c r="C266" s="436"/>
      <c r="D266" s="436"/>
      <c r="E266" s="437"/>
      <c r="F266" s="436"/>
      <c r="G266" s="436"/>
    </row>
    <row r="267" spans="1:7" ht="12.75">
      <c r="A267" s="436"/>
      <c r="B267" s="436"/>
      <c r="C267" s="436"/>
      <c r="D267" s="436"/>
      <c r="E267" s="437"/>
      <c r="F267" s="436"/>
      <c r="G267" s="436"/>
    </row>
  </sheetData>
  <mergeCells count="90">
    <mergeCell ref="C12:D12"/>
    <mergeCell ref="A1:G1"/>
    <mergeCell ref="A3:B3"/>
    <mergeCell ref="A4:B4"/>
    <mergeCell ref="E4:G4"/>
    <mergeCell ref="C11:D11"/>
    <mergeCell ref="C42:D42"/>
    <mergeCell ref="C13:D13"/>
    <mergeCell ref="C15:D15"/>
    <mergeCell ref="C18:D18"/>
    <mergeCell ref="C20:D20"/>
    <mergeCell ref="C22:D22"/>
    <mergeCell ref="C25:D25"/>
    <mergeCell ref="C26:D26"/>
    <mergeCell ref="C27:D27"/>
    <mergeCell ref="C29:D29"/>
    <mergeCell ref="C38:D38"/>
    <mergeCell ref="C39:D39"/>
    <mergeCell ref="C66:D66"/>
    <mergeCell ref="C44:D44"/>
    <mergeCell ref="C51:D51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81:D81"/>
    <mergeCell ref="C67:D67"/>
    <mergeCell ref="C68:D68"/>
    <mergeCell ref="C69:D69"/>
    <mergeCell ref="C73:D73"/>
    <mergeCell ref="C74:D74"/>
    <mergeCell ref="C75:D75"/>
    <mergeCell ref="C76:D76"/>
    <mergeCell ref="C77:D77"/>
    <mergeCell ref="C78:D78"/>
    <mergeCell ref="C79:D79"/>
    <mergeCell ref="C80:D80"/>
    <mergeCell ref="C94:D94"/>
    <mergeCell ref="C82:D82"/>
    <mergeCell ref="C83:D83"/>
    <mergeCell ref="C84:D84"/>
    <mergeCell ref="C85:D85"/>
    <mergeCell ref="C87:D87"/>
    <mergeCell ref="C88:D88"/>
    <mergeCell ref="C89:D89"/>
    <mergeCell ref="C90:D90"/>
    <mergeCell ref="C91:D91"/>
    <mergeCell ref="C92:D92"/>
    <mergeCell ref="C93:D93"/>
    <mergeCell ref="C128:D128"/>
    <mergeCell ref="C95:D95"/>
    <mergeCell ref="C96:D96"/>
    <mergeCell ref="C97:D97"/>
    <mergeCell ref="C98:D98"/>
    <mergeCell ref="C99:D99"/>
    <mergeCell ref="C106:D106"/>
    <mergeCell ref="C113:D113"/>
    <mergeCell ref="C114:D114"/>
    <mergeCell ref="C116:D116"/>
    <mergeCell ref="C120:D120"/>
    <mergeCell ref="C127:D127"/>
    <mergeCell ref="C141:D141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81:D181"/>
    <mergeCell ref="C151:D151"/>
    <mergeCell ref="C155:D155"/>
    <mergeCell ref="C157:D157"/>
    <mergeCell ref="C158:D158"/>
    <mergeCell ref="C159:D159"/>
    <mergeCell ref="C164:D164"/>
    <mergeCell ref="C169:D169"/>
    <mergeCell ref="C171:D171"/>
    <mergeCell ref="C173:D173"/>
    <mergeCell ref="C175:D175"/>
    <mergeCell ref="C176:D176"/>
  </mergeCells>
  <printOptions horizontalCentered="1"/>
  <pageMargins left="0.5905511811023623" right="0.3937007874015748" top="0.5905511811023623" bottom="0.984251968503937" header="0.1968503937007874" footer="0.5118110236220472"/>
  <pageSetup fitToHeight="5" fitToWidth="1" horizontalDpi="300" verticalDpi="300" orientation="portrait" paperSize="9" scale="80" r:id="rId1"/>
  <headerFooter alignWithMargins="0">
    <oddFooter>&amp;L&amp;9Zpracováno programem &amp;"Arial CE,Tučné"BUILDpower,  © RTS, a.s.&amp;R&amp;"Arial,Obyčejné"Strana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E55"/>
  <sheetViews>
    <sheetView workbookViewId="0" topLeftCell="A1">
      <selection activeCell="W44" sqref="W4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50390625" style="0" customWidth="1"/>
    <col min="261" max="261" width="13.50390625" style="0" customWidth="1"/>
    <col min="262" max="262" width="16.50390625" style="0" customWidth="1"/>
    <col min="263" max="263" width="15.37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50390625" style="0" customWidth="1"/>
    <col min="517" max="517" width="13.50390625" style="0" customWidth="1"/>
    <col min="518" max="518" width="16.50390625" style="0" customWidth="1"/>
    <col min="519" max="519" width="15.37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50390625" style="0" customWidth="1"/>
    <col min="773" max="773" width="13.50390625" style="0" customWidth="1"/>
    <col min="774" max="774" width="16.50390625" style="0" customWidth="1"/>
    <col min="775" max="775" width="15.37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50390625" style="0" customWidth="1"/>
    <col min="1029" max="1029" width="13.50390625" style="0" customWidth="1"/>
    <col min="1030" max="1030" width="16.50390625" style="0" customWidth="1"/>
    <col min="1031" max="1031" width="15.37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50390625" style="0" customWidth="1"/>
    <col min="1285" max="1285" width="13.50390625" style="0" customWidth="1"/>
    <col min="1286" max="1286" width="16.50390625" style="0" customWidth="1"/>
    <col min="1287" max="1287" width="15.37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50390625" style="0" customWidth="1"/>
    <col min="1541" max="1541" width="13.50390625" style="0" customWidth="1"/>
    <col min="1542" max="1542" width="16.50390625" style="0" customWidth="1"/>
    <col min="1543" max="1543" width="15.37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50390625" style="0" customWidth="1"/>
    <col min="1797" max="1797" width="13.50390625" style="0" customWidth="1"/>
    <col min="1798" max="1798" width="16.50390625" style="0" customWidth="1"/>
    <col min="1799" max="1799" width="15.37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50390625" style="0" customWidth="1"/>
    <col min="2053" max="2053" width="13.50390625" style="0" customWidth="1"/>
    <col min="2054" max="2054" width="16.50390625" style="0" customWidth="1"/>
    <col min="2055" max="2055" width="15.37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50390625" style="0" customWidth="1"/>
    <col min="2309" max="2309" width="13.50390625" style="0" customWidth="1"/>
    <col min="2310" max="2310" width="16.50390625" style="0" customWidth="1"/>
    <col min="2311" max="2311" width="15.37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50390625" style="0" customWidth="1"/>
    <col min="2565" max="2565" width="13.50390625" style="0" customWidth="1"/>
    <col min="2566" max="2566" width="16.50390625" style="0" customWidth="1"/>
    <col min="2567" max="2567" width="15.37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50390625" style="0" customWidth="1"/>
    <col min="2821" max="2821" width="13.50390625" style="0" customWidth="1"/>
    <col min="2822" max="2822" width="16.50390625" style="0" customWidth="1"/>
    <col min="2823" max="2823" width="15.37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50390625" style="0" customWidth="1"/>
    <col min="3077" max="3077" width="13.50390625" style="0" customWidth="1"/>
    <col min="3078" max="3078" width="16.50390625" style="0" customWidth="1"/>
    <col min="3079" max="3079" width="15.37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50390625" style="0" customWidth="1"/>
    <col min="3333" max="3333" width="13.50390625" style="0" customWidth="1"/>
    <col min="3334" max="3334" width="16.50390625" style="0" customWidth="1"/>
    <col min="3335" max="3335" width="15.37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50390625" style="0" customWidth="1"/>
    <col min="3589" max="3589" width="13.50390625" style="0" customWidth="1"/>
    <col min="3590" max="3590" width="16.50390625" style="0" customWidth="1"/>
    <col min="3591" max="3591" width="15.37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50390625" style="0" customWidth="1"/>
    <col min="3845" max="3845" width="13.50390625" style="0" customWidth="1"/>
    <col min="3846" max="3846" width="16.50390625" style="0" customWidth="1"/>
    <col min="3847" max="3847" width="15.37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50390625" style="0" customWidth="1"/>
    <col min="4101" max="4101" width="13.50390625" style="0" customWidth="1"/>
    <col min="4102" max="4102" width="16.50390625" style="0" customWidth="1"/>
    <col min="4103" max="4103" width="15.37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50390625" style="0" customWidth="1"/>
    <col min="4357" max="4357" width="13.50390625" style="0" customWidth="1"/>
    <col min="4358" max="4358" width="16.50390625" style="0" customWidth="1"/>
    <col min="4359" max="4359" width="15.37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50390625" style="0" customWidth="1"/>
    <col min="4613" max="4613" width="13.50390625" style="0" customWidth="1"/>
    <col min="4614" max="4614" width="16.50390625" style="0" customWidth="1"/>
    <col min="4615" max="4615" width="15.37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50390625" style="0" customWidth="1"/>
    <col min="4869" max="4869" width="13.50390625" style="0" customWidth="1"/>
    <col min="4870" max="4870" width="16.50390625" style="0" customWidth="1"/>
    <col min="4871" max="4871" width="15.37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50390625" style="0" customWidth="1"/>
    <col min="5125" max="5125" width="13.50390625" style="0" customWidth="1"/>
    <col min="5126" max="5126" width="16.50390625" style="0" customWidth="1"/>
    <col min="5127" max="5127" width="15.37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50390625" style="0" customWidth="1"/>
    <col min="5381" max="5381" width="13.50390625" style="0" customWidth="1"/>
    <col min="5382" max="5382" width="16.50390625" style="0" customWidth="1"/>
    <col min="5383" max="5383" width="15.37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50390625" style="0" customWidth="1"/>
    <col min="5637" max="5637" width="13.50390625" style="0" customWidth="1"/>
    <col min="5638" max="5638" width="16.50390625" style="0" customWidth="1"/>
    <col min="5639" max="5639" width="15.37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50390625" style="0" customWidth="1"/>
    <col min="5893" max="5893" width="13.50390625" style="0" customWidth="1"/>
    <col min="5894" max="5894" width="16.50390625" style="0" customWidth="1"/>
    <col min="5895" max="5895" width="15.37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50390625" style="0" customWidth="1"/>
    <col min="6149" max="6149" width="13.50390625" style="0" customWidth="1"/>
    <col min="6150" max="6150" width="16.50390625" style="0" customWidth="1"/>
    <col min="6151" max="6151" width="15.37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50390625" style="0" customWidth="1"/>
    <col min="6405" max="6405" width="13.50390625" style="0" customWidth="1"/>
    <col min="6406" max="6406" width="16.50390625" style="0" customWidth="1"/>
    <col min="6407" max="6407" width="15.37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50390625" style="0" customWidth="1"/>
    <col min="6661" max="6661" width="13.50390625" style="0" customWidth="1"/>
    <col min="6662" max="6662" width="16.50390625" style="0" customWidth="1"/>
    <col min="6663" max="6663" width="15.37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50390625" style="0" customWidth="1"/>
    <col min="6917" max="6917" width="13.50390625" style="0" customWidth="1"/>
    <col min="6918" max="6918" width="16.50390625" style="0" customWidth="1"/>
    <col min="6919" max="6919" width="15.37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50390625" style="0" customWidth="1"/>
    <col min="7173" max="7173" width="13.50390625" style="0" customWidth="1"/>
    <col min="7174" max="7174" width="16.50390625" style="0" customWidth="1"/>
    <col min="7175" max="7175" width="15.37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50390625" style="0" customWidth="1"/>
    <col min="7429" max="7429" width="13.50390625" style="0" customWidth="1"/>
    <col min="7430" max="7430" width="16.50390625" style="0" customWidth="1"/>
    <col min="7431" max="7431" width="15.37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50390625" style="0" customWidth="1"/>
    <col min="7685" max="7685" width="13.50390625" style="0" customWidth="1"/>
    <col min="7686" max="7686" width="16.50390625" style="0" customWidth="1"/>
    <col min="7687" max="7687" width="15.37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50390625" style="0" customWidth="1"/>
    <col min="7941" max="7941" width="13.50390625" style="0" customWidth="1"/>
    <col min="7942" max="7942" width="16.50390625" style="0" customWidth="1"/>
    <col min="7943" max="7943" width="15.37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50390625" style="0" customWidth="1"/>
    <col min="8197" max="8197" width="13.50390625" style="0" customWidth="1"/>
    <col min="8198" max="8198" width="16.50390625" style="0" customWidth="1"/>
    <col min="8199" max="8199" width="15.37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50390625" style="0" customWidth="1"/>
    <col min="8453" max="8453" width="13.50390625" style="0" customWidth="1"/>
    <col min="8454" max="8454" width="16.50390625" style="0" customWidth="1"/>
    <col min="8455" max="8455" width="15.37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50390625" style="0" customWidth="1"/>
    <col min="8709" max="8709" width="13.50390625" style="0" customWidth="1"/>
    <col min="8710" max="8710" width="16.50390625" style="0" customWidth="1"/>
    <col min="8711" max="8711" width="15.37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50390625" style="0" customWidth="1"/>
    <col min="8965" max="8965" width="13.50390625" style="0" customWidth="1"/>
    <col min="8966" max="8966" width="16.50390625" style="0" customWidth="1"/>
    <col min="8967" max="8967" width="15.37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50390625" style="0" customWidth="1"/>
    <col min="9221" max="9221" width="13.50390625" style="0" customWidth="1"/>
    <col min="9222" max="9222" width="16.50390625" style="0" customWidth="1"/>
    <col min="9223" max="9223" width="15.37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50390625" style="0" customWidth="1"/>
    <col min="9477" max="9477" width="13.50390625" style="0" customWidth="1"/>
    <col min="9478" max="9478" width="16.50390625" style="0" customWidth="1"/>
    <col min="9479" max="9479" width="15.37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50390625" style="0" customWidth="1"/>
    <col min="9733" max="9733" width="13.50390625" style="0" customWidth="1"/>
    <col min="9734" max="9734" width="16.50390625" style="0" customWidth="1"/>
    <col min="9735" max="9735" width="15.37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50390625" style="0" customWidth="1"/>
    <col min="9989" max="9989" width="13.50390625" style="0" customWidth="1"/>
    <col min="9990" max="9990" width="16.50390625" style="0" customWidth="1"/>
    <col min="9991" max="9991" width="15.37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50390625" style="0" customWidth="1"/>
    <col min="10245" max="10245" width="13.50390625" style="0" customWidth="1"/>
    <col min="10246" max="10246" width="16.50390625" style="0" customWidth="1"/>
    <col min="10247" max="10247" width="15.37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50390625" style="0" customWidth="1"/>
    <col min="10501" max="10501" width="13.50390625" style="0" customWidth="1"/>
    <col min="10502" max="10502" width="16.50390625" style="0" customWidth="1"/>
    <col min="10503" max="10503" width="15.37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50390625" style="0" customWidth="1"/>
    <col min="10757" max="10757" width="13.50390625" style="0" customWidth="1"/>
    <col min="10758" max="10758" width="16.50390625" style="0" customWidth="1"/>
    <col min="10759" max="10759" width="15.37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50390625" style="0" customWidth="1"/>
    <col min="11013" max="11013" width="13.50390625" style="0" customWidth="1"/>
    <col min="11014" max="11014" width="16.50390625" style="0" customWidth="1"/>
    <col min="11015" max="11015" width="15.37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50390625" style="0" customWidth="1"/>
    <col min="11269" max="11269" width="13.50390625" style="0" customWidth="1"/>
    <col min="11270" max="11270" width="16.50390625" style="0" customWidth="1"/>
    <col min="11271" max="11271" width="15.37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50390625" style="0" customWidth="1"/>
    <col min="11525" max="11525" width="13.50390625" style="0" customWidth="1"/>
    <col min="11526" max="11526" width="16.50390625" style="0" customWidth="1"/>
    <col min="11527" max="11527" width="15.37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50390625" style="0" customWidth="1"/>
    <col min="11781" max="11781" width="13.50390625" style="0" customWidth="1"/>
    <col min="11782" max="11782" width="16.50390625" style="0" customWidth="1"/>
    <col min="11783" max="11783" width="15.37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50390625" style="0" customWidth="1"/>
    <col min="12037" max="12037" width="13.50390625" style="0" customWidth="1"/>
    <col min="12038" max="12038" width="16.50390625" style="0" customWidth="1"/>
    <col min="12039" max="12039" width="15.37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50390625" style="0" customWidth="1"/>
    <col min="12293" max="12293" width="13.50390625" style="0" customWidth="1"/>
    <col min="12294" max="12294" width="16.50390625" style="0" customWidth="1"/>
    <col min="12295" max="12295" width="15.37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50390625" style="0" customWidth="1"/>
    <col min="12549" max="12549" width="13.50390625" style="0" customWidth="1"/>
    <col min="12550" max="12550" width="16.50390625" style="0" customWidth="1"/>
    <col min="12551" max="12551" width="15.37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50390625" style="0" customWidth="1"/>
    <col min="12805" max="12805" width="13.50390625" style="0" customWidth="1"/>
    <col min="12806" max="12806" width="16.50390625" style="0" customWidth="1"/>
    <col min="12807" max="12807" width="15.37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50390625" style="0" customWidth="1"/>
    <col min="13061" max="13061" width="13.50390625" style="0" customWidth="1"/>
    <col min="13062" max="13062" width="16.50390625" style="0" customWidth="1"/>
    <col min="13063" max="13063" width="15.37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50390625" style="0" customWidth="1"/>
    <col min="13317" max="13317" width="13.50390625" style="0" customWidth="1"/>
    <col min="13318" max="13318" width="16.50390625" style="0" customWidth="1"/>
    <col min="13319" max="13319" width="15.37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50390625" style="0" customWidth="1"/>
    <col min="13573" max="13573" width="13.50390625" style="0" customWidth="1"/>
    <col min="13574" max="13574" width="16.50390625" style="0" customWidth="1"/>
    <col min="13575" max="13575" width="15.37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50390625" style="0" customWidth="1"/>
    <col min="13829" max="13829" width="13.50390625" style="0" customWidth="1"/>
    <col min="13830" max="13830" width="16.50390625" style="0" customWidth="1"/>
    <col min="13831" max="13831" width="15.37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50390625" style="0" customWidth="1"/>
    <col min="14085" max="14085" width="13.50390625" style="0" customWidth="1"/>
    <col min="14086" max="14086" width="16.50390625" style="0" customWidth="1"/>
    <col min="14087" max="14087" width="15.37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50390625" style="0" customWidth="1"/>
    <col min="14341" max="14341" width="13.50390625" style="0" customWidth="1"/>
    <col min="14342" max="14342" width="16.50390625" style="0" customWidth="1"/>
    <col min="14343" max="14343" width="15.37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50390625" style="0" customWidth="1"/>
    <col min="14597" max="14597" width="13.50390625" style="0" customWidth="1"/>
    <col min="14598" max="14598" width="16.50390625" style="0" customWidth="1"/>
    <col min="14599" max="14599" width="15.37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50390625" style="0" customWidth="1"/>
    <col min="14853" max="14853" width="13.50390625" style="0" customWidth="1"/>
    <col min="14854" max="14854" width="16.50390625" style="0" customWidth="1"/>
    <col min="14855" max="14855" width="15.37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50390625" style="0" customWidth="1"/>
    <col min="15109" max="15109" width="13.50390625" style="0" customWidth="1"/>
    <col min="15110" max="15110" width="16.50390625" style="0" customWidth="1"/>
    <col min="15111" max="15111" width="15.37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50390625" style="0" customWidth="1"/>
    <col min="15365" max="15365" width="13.50390625" style="0" customWidth="1"/>
    <col min="15366" max="15366" width="16.50390625" style="0" customWidth="1"/>
    <col min="15367" max="15367" width="15.37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50390625" style="0" customWidth="1"/>
    <col min="15621" max="15621" width="13.50390625" style="0" customWidth="1"/>
    <col min="15622" max="15622" width="16.50390625" style="0" customWidth="1"/>
    <col min="15623" max="15623" width="15.37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50390625" style="0" customWidth="1"/>
    <col min="15877" max="15877" width="13.50390625" style="0" customWidth="1"/>
    <col min="15878" max="15878" width="16.50390625" style="0" customWidth="1"/>
    <col min="15879" max="15879" width="15.37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50390625" style="0" customWidth="1"/>
    <col min="16133" max="16133" width="13.50390625" style="0" customWidth="1"/>
    <col min="16134" max="16134" width="16.50390625" style="0" customWidth="1"/>
    <col min="16135" max="16135" width="15.375" style="0" customWidth="1"/>
  </cols>
  <sheetData>
    <row r="1" spans="1:7" ht="24.75" customHeight="1" thickBot="1">
      <c r="A1" s="189" t="s">
        <v>126</v>
      </c>
      <c r="B1" s="188"/>
      <c r="C1" s="188"/>
      <c r="D1" s="188"/>
      <c r="E1" s="188"/>
      <c r="F1" s="188"/>
      <c r="G1" s="188"/>
    </row>
    <row r="2" spans="1:7" ht="12.75" customHeight="1">
      <c r="A2" s="187" t="s">
        <v>125</v>
      </c>
      <c r="B2" s="186"/>
      <c r="C2" s="185">
        <f>'z11aR'!H1</f>
        <v>0</v>
      </c>
      <c r="D2" s="185" t="s">
        <v>279</v>
      </c>
      <c r="E2" s="184"/>
      <c r="F2" s="183" t="s">
        <v>124</v>
      </c>
      <c r="G2" s="182"/>
    </row>
    <row r="3" spans="1:7" ht="3" customHeight="1" hidden="1">
      <c r="A3" s="133"/>
      <c r="B3" s="151"/>
      <c r="C3" s="174"/>
      <c r="D3" s="174"/>
      <c r="E3" s="173"/>
      <c r="F3" s="155"/>
      <c r="G3" s="176"/>
    </row>
    <row r="4" spans="1:7" ht="12" customHeight="1">
      <c r="A4" s="175" t="s">
        <v>123</v>
      </c>
      <c r="B4" s="151"/>
      <c r="C4" s="174" t="s">
        <v>280</v>
      </c>
      <c r="D4" s="174"/>
      <c r="E4" s="173"/>
      <c r="F4" s="155" t="s">
        <v>122</v>
      </c>
      <c r="G4" s="181"/>
    </row>
    <row r="5" spans="1:7" ht="12.9" customHeight="1">
      <c r="A5" s="180" t="s">
        <v>22</v>
      </c>
      <c r="B5" s="177"/>
      <c r="C5" s="179" t="s">
        <v>23</v>
      </c>
      <c r="D5" s="178"/>
      <c r="E5" s="177"/>
      <c r="F5" s="155" t="s">
        <v>121</v>
      </c>
      <c r="G5" s="176"/>
    </row>
    <row r="6" spans="1:15" ht="12.9" customHeight="1">
      <c r="A6" s="175" t="s">
        <v>120</v>
      </c>
      <c r="B6" s="151"/>
      <c r="C6" s="174" t="s">
        <v>281</v>
      </c>
      <c r="D6" s="174"/>
      <c r="E6" s="173"/>
      <c r="F6" s="172" t="s">
        <v>119</v>
      </c>
      <c r="G6" s="165">
        <v>0</v>
      </c>
      <c r="O6" s="253"/>
    </row>
    <row r="7" spans="1:7" ht="12.9" customHeight="1">
      <c r="A7" s="170" t="s">
        <v>12</v>
      </c>
      <c r="B7" s="169"/>
      <c r="C7" s="168" t="s">
        <v>13</v>
      </c>
      <c r="D7" s="167"/>
      <c r="E7" s="167"/>
      <c r="F7" s="166" t="s">
        <v>118</v>
      </c>
      <c r="G7" s="165">
        <f>IF(asdfh=0,,ROUND((F30+F32)/asdfh,1))</f>
        <v>0</v>
      </c>
    </row>
    <row r="8" spans="1:9" ht="12.75">
      <c r="A8" s="156" t="s">
        <v>117</v>
      </c>
      <c r="B8" s="155"/>
      <c r="C8" s="1570"/>
      <c r="D8" s="1570"/>
      <c r="E8" s="1571"/>
      <c r="F8" s="164" t="s">
        <v>116</v>
      </c>
      <c r="G8" s="163"/>
      <c r="H8" s="254"/>
      <c r="I8" s="255"/>
    </row>
    <row r="9" spans="1:8" ht="12.75">
      <c r="A9" s="156" t="s">
        <v>115</v>
      </c>
      <c r="B9" s="155"/>
      <c r="C9" s="1570">
        <f>sdfg</f>
        <v>0</v>
      </c>
      <c r="D9" s="1570"/>
      <c r="E9" s="1571"/>
      <c r="F9" s="155"/>
      <c r="G9" s="160"/>
      <c r="H9" s="256"/>
    </row>
    <row r="10" spans="1:8" ht="12.75">
      <c r="A10" s="156" t="s">
        <v>114</v>
      </c>
      <c r="B10" s="155"/>
      <c r="C10" s="1570"/>
      <c r="D10" s="1570"/>
      <c r="E10" s="1570"/>
      <c r="F10" s="159"/>
      <c r="G10" s="158"/>
      <c r="H10" s="257"/>
    </row>
    <row r="11" spans="1:57" ht="13.5" customHeight="1">
      <c r="A11" s="156" t="s">
        <v>113</v>
      </c>
      <c r="B11" s="155"/>
      <c r="C11" s="1570"/>
      <c r="D11" s="1570"/>
      <c r="E11" s="1570"/>
      <c r="F11" s="154" t="s">
        <v>112</v>
      </c>
      <c r="G11" s="153"/>
      <c r="H11" s="256"/>
      <c r="BA11" s="258"/>
      <c r="BB11" s="258"/>
      <c r="BC11" s="258"/>
      <c r="BD11" s="258"/>
      <c r="BE11" s="258"/>
    </row>
    <row r="12" spans="1:8" ht="12.75" customHeight="1">
      <c r="A12" s="152" t="s">
        <v>111</v>
      </c>
      <c r="B12" s="151"/>
      <c r="C12" s="1572"/>
      <c r="D12" s="1572"/>
      <c r="E12" s="1572"/>
      <c r="F12" s="150" t="s">
        <v>110</v>
      </c>
      <c r="G12" s="149"/>
      <c r="H12" s="256"/>
    </row>
    <row r="13" spans="1:8" ht="28.5" customHeight="1" thickBot="1">
      <c r="A13" s="148" t="s">
        <v>109</v>
      </c>
      <c r="B13" s="147"/>
      <c r="C13" s="147"/>
      <c r="D13" s="147"/>
      <c r="E13" s="146"/>
      <c r="F13" s="146"/>
      <c r="G13" s="145"/>
      <c r="H13" s="256"/>
    </row>
    <row r="14" spans="1:7" ht="17.25" customHeight="1" thickBot="1">
      <c r="A14" s="144" t="s">
        <v>108</v>
      </c>
      <c r="B14" s="143"/>
      <c r="C14" s="140"/>
      <c r="D14" s="142" t="s">
        <v>107</v>
      </c>
      <c r="E14" s="141"/>
      <c r="F14" s="141"/>
      <c r="G14" s="140"/>
    </row>
    <row r="15" spans="1:7" ht="15.9" customHeight="1">
      <c r="A15" s="136"/>
      <c r="B15" s="62" t="s">
        <v>106</v>
      </c>
      <c r="C15" s="127">
        <f>xcvb</f>
        <v>0</v>
      </c>
      <c r="D15" s="139" t="str">
        <f>'z11aR'!A19</f>
        <v>Ztížené výrobní podmínky</v>
      </c>
      <c r="E15" s="138"/>
      <c r="F15" s="137"/>
      <c r="G15" s="127">
        <f>'z11aR'!I19</f>
        <v>0</v>
      </c>
    </row>
    <row r="16" spans="1:7" ht="15.9" customHeight="1">
      <c r="A16" s="136" t="s">
        <v>105</v>
      </c>
      <c r="B16" s="62" t="s">
        <v>104</v>
      </c>
      <c r="C16" s="127">
        <f>zuokjjm</f>
        <v>0</v>
      </c>
      <c r="D16" s="133" t="str">
        <f>'z11aR'!A20</f>
        <v>Oborová přirážka</v>
      </c>
      <c r="E16" s="132"/>
      <c r="F16" s="108"/>
      <c r="G16" s="127">
        <f>'z11aR'!I20</f>
        <v>0</v>
      </c>
    </row>
    <row r="17" spans="1:7" ht="15.9" customHeight="1">
      <c r="A17" s="136" t="s">
        <v>103</v>
      </c>
      <c r="B17" s="62" t="s">
        <v>102</v>
      </c>
      <c r="C17" s="127">
        <f>asdsfbagdyx</f>
        <v>0</v>
      </c>
      <c r="D17" s="133" t="str">
        <f>'z11aR'!A21</f>
        <v>Přesun stavebních kapacit</v>
      </c>
      <c r="E17" s="132"/>
      <c r="F17" s="108"/>
      <c r="G17" s="127">
        <f>'z11aR'!I21</f>
        <v>0</v>
      </c>
    </row>
    <row r="18" spans="1:7" ht="15.9" customHeight="1">
      <c r="A18" s="135" t="s">
        <v>101</v>
      </c>
      <c r="B18" s="134" t="s">
        <v>100</v>
      </c>
      <c r="C18" s="127">
        <f>uiomůhj</f>
        <v>0</v>
      </c>
      <c r="D18" s="133" t="str">
        <f>'z11aR'!A22</f>
        <v>Mimostaveništní doprava</v>
      </c>
      <c r="E18" s="132"/>
      <c r="F18" s="108"/>
      <c r="G18" s="127">
        <f>'z11aR'!I22</f>
        <v>0</v>
      </c>
    </row>
    <row r="19" spans="1:7" ht="15.9" customHeight="1">
      <c r="A19" s="63" t="s">
        <v>99</v>
      </c>
      <c r="B19" s="62"/>
      <c r="C19" s="127">
        <f>SUM(C15:C18)</f>
        <v>0</v>
      </c>
      <c r="D19" s="133" t="str">
        <f>'z11aR'!A23</f>
        <v>Zařízení staveniště</v>
      </c>
      <c r="E19" s="132"/>
      <c r="F19" s="108"/>
      <c r="G19" s="127">
        <f>'z11aR'!I23</f>
        <v>0</v>
      </c>
    </row>
    <row r="20" spans="1:7" ht="15.9" customHeight="1">
      <c r="A20" s="63"/>
      <c r="B20" s="62"/>
      <c r="C20" s="127"/>
      <c r="D20" s="133" t="str">
        <f>'z11aR'!A24</f>
        <v>Provoz investora</v>
      </c>
      <c r="E20" s="132"/>
      <c r="F20" s="108"/>
      <c r="G20" s="127">
        <f>'z11aR'!I24</f>
        <v>0</v>
      </c>
    </row>
    <row r="21" spans="1:7" ht="15.9" customHeight="1">
      <c r="A21" s="63" t="s">
        <v>70</v>
      </c>
      <c r="B21" s="62"/>
      <c r="C21" s="127">
        <f>asdfvt</f>
        <v>0</v>
      </c>
      <c r="D21" s="133" t="str">
        <f>'z11aR'!A25</f>
        <v>Kompletační činnost (IČD)</v>
      </c>
      <c r="E21" s="132"/>
      <c r="F21" s="108"/>
      <c r="G21" s="127">
        <f>'z11aR'!I25</f>
        <v>0</v>
      </c>
    </row>
    <row r="22" spans="1:7" ht="15.9" customHeight="1">
      <c r="A22" s="118" t="s">
        <v>98</v>
      </c>
      <c r="B22" s="74"/>
      <c r="C22" s="127">
        <f>C19+C21</f>
        <v>0</v>
      </c>
      <c r="D22" s="133" t="s">
        <v>97</v>
      </c>
      <c r="E22" s="132"/>
      <c r="F22" s="108"/>
      <c r="G22" s="127">
        <f>G23-SUM(G15:G21)</f>
        <v>0</v>
      </c>
    </row>
    <row r="23" spans="1:7" ht="15.9" customHeight="1" thickBot="1">
      <c r="A23" s="1568" t="s">
        <v>96</v>
      </c>
      <c r="B23" s="1569"/>
      <c r="C23" s="131">
        <f>C22+G23</f>
        <v>0</v>
      </c>
      <c r="D23" s="130" t="s">
        <v>95</v>
      </c>
      <c r="E23" s="129"/>
      <c r="F23" s="128"/>
      <c r="G23" s="127">
        <f>zuio</f>
        <v>0</v>
      </c>
    </row>
    <row r="24" spans="1:7" ht="12.75">
      <c r="A24" s="71" t="s">
        <v>94</v>
      </c>
      <c r="B24" s="70"/>
      <c r="C24" s="126"/>
      <c r="D24" s="70" t="s">
        <v>93</v>
      </c>
      <c r="E24" s="70"/>
      <c r="F24" s="125" t="s">
        <v>92</v>
      </c>
      <c r="G24" s="124"/>
    </row>
    <row r="25" spans="1:7" ht="12.75">
      <c r="A25" s="118" t="s">
        <v>91</v>
      </c>
      <c r="B25" s="74"/>
      <c r="C25" s="120"/>
      <c r="D25" s="74" t="s">
        <v>91</v>
      </c>
      <c r="E25" s="1"/>
      <c r="F25" s="121" t="s">
        <v>91</v>
      </c>
      <c r="G25" s="115"/>
    </row>
    <row r="26" spans="1:7" ht="37.5" customHeight="1">
      <c r="A26" s="118" t="s">
        <v>90</v>
      </c>
      <c r="B26" s="123"/>
      <c r="C26" s="120"/>
      <c r="D26" s="74" t="s">
        <v>90</v>
      </c>
      <c r="E26" s="1"/>
      <c r="F26" s="121" t="s">
        <v>90</v>
      </c>
      <c r="G26" s="115"/>
    </row>
    <row r="27" spans="1:7" ht="12.75">
      <c r="A27" s="118"/>
      <c r="B27" s="122"/>
      <c r="C27" s="120"/>
      <c r="D27" s="74"/>
      <c r="E27" s="1"/>
      <c r="F27" s="121"/>
      <c r="G27" s="115"/>
    </row>
    <row r="28" spans="1:7" ht="12.75">
      <c r="A28" s="118" t="s">
        <v>89</v>
      </c>
      <c r="B28" s="74"/>
      <c r="C28" s="120"/>
      <c r="D28" s="121" t="s">
        <v>88</v>
      </c>
      <c r="E28" s="120"/>
      <c r="F28" s="119" t="s">
        <v>88</v>
      </c>
      <c r="G28" s="115"/>
    </row>
    <row r="29" spans="1:7" ht="69" customHeight="1">
      <c r="A29" s="118"/>
      <c r="B29" s="74"/>
      <c r="C29" s="116"/>
      <c r="D29" s="117"/>
      <c r="E29" s="116"/>
      <c r="F29" s="74"/>
      <c r="G29" s="115"/>
    </row>
    <row r="30" spans="1:7" ht="12.75">
      <c r="A30" s="112" t="s">
        <v>8</v>
      </c>
      <c r="B30" s="109"/>
      <c r="C30" s="114">
        <v>21</v>
      </c>
      <c r="D30" s="109" t="s">
        <v>87</v>
      </c>
      <c r="E30" s="113"/>
      <c r="F30" s="1574">
        <f>C23-F32</f>
        <v>0</v>
      </c>
      <c r="G30" s="1575"/>
    </row>
    <row r="31" spans="1:7" ht="12.75">
      <c r="A31" s="112" t="s">
        <v>86</v>
      </c>
      <c r="B31" s="109"/>
      <c r="C31" s="114">
        <f>yxcvbt</f>
        <v>21</v>
      </c>
      <c r="D31" s="109" t="s">
        <v>85</v>
      </c>
      <c r="E31" s="113"/>
      <c r="F31" s="1574">
        <f>ROUND(PRODUCT(F30,C31/100),0)</f>
        <v>0</v>
      </c>
      <c r="G31" s="1575"/>
    </row>
    <row r="32" spans="1:7" ht="12.75">
      <c r="A32" s="112" t="s">
        <v>8</v>
      </c>
      <c r="B32" s="109"/>
      <c r="C32" s="114">
        <v>0</v>
      </c>
      <c r="D32" s="109" t="s">
        <v>85</v>
      </c>
      <c r="E32" s="113"/>
      <c r="F32" s="1574">
        <v>0</v>
      </c>
      <c r="G32" s="1575"/>
    </row>
    <row r="33" spans="1:7" ht="12.75">
      <c r="A33" s="112" t="s">
        <v>86</v>
      </c>
      <c r="B33" s="111"/>
      <c r="C33" s="110">
        <f>aserdva</f>
        <v>0</v>
      </c>
      <c r="D33" s="109" t="s">
        <v>85</v>
      </c>
      <c r="E33" s="108"/>
      <c r="F33" s="1574">
        <f>ROUND(PRODUCT(F32,C33/100),0)</f>
        <v>0</v>
      </c>
      <c r="G33" s="1575"/>
    </row>
    <row r="34" spans="1:7" s="259" customFormat="1" ht="19.5" customHeight="1" thickBot="1">
      <c r="A34" s="107" t="s">
        <v>84</v>
      </c>
      <c r="B34" s="106"/>
      <c r="C34" s="106"/>
      <c r="D34" s="106"/>
      <c r="E34" s="105"/>
      <c r="F34" s="1576">
        <f>ROUND(SUM(F30:F33),0)</f>
        <v>0</v>
      </c>
      <c r="G34" s="1577"/>
    </row>
    <row r="36" spans="1:8" ht="12.75">
      <c r="A36" s="260" t="s">
        <v>83</v>
      </c>
      <c r="B36" s="260"/>
      <c r="C36" s="260"/>
      <c r="D36" s="260"/>
      <c r="E36" s="260"/>
      <c r="F36" s="260"/>
      <c r="G36" s="260"/>
      <c r="H36" t="s">
        <v>1</v>
      </c>
    </row>
    <row r="37" spans="1:8" ht="14.25" customHeight="1">
      <c r="A37" s="260"/>
      <c r="B37" s="1599"/>
      <c r="C37" s="1599"/>
      <c r="D37" s="1599"/>
      <c r="E37" s="1599"/>
      <c r="F37" s="1599"/>
      <c r="G37" s="1599"/>
      <c r="H37" t="s">
        <v>1</v>
      </c>
    </row>
    <row r="38" spans="1:8" ht="12.75" customHeight="1">
      <c r="A38" s="261"/>
      <c r="B38" s="1599"/>
      <c r="C38" s="1599"/>
      <c r="D38" s="1599"/>
      <c r="E38" s="1599"/>
      <c r="F38" s="1599"/>
      <c r="G38" s="1599"/>
      <c r="H38" t="s">
        <v>1</v>
      </c>
    </row>
    <row r="39" spans="1:8" ht="12.75">
      <c r="A39" s="261"/>
      <c r="B39" s="1599"/>
      <c r="C39" s="1599"/>
      <c r="D39" s="1599"/>
      <c r="E39" s="1599"/>
      <c r="F39" s="1599"/>
      <c r="G39" s="1599"/>
      <c r="H39" t="s">
        <v>1</v>
      </c>
    </row>
    <row r="40" spans="1:8" ht="12.75">
      <c r="A40" s="261"/>
      <c r="B40" s="1599"/>
      <c r="C40" s="1599"/>
      <c r="D40" s="1599"/>
      <c r="E40" s="1599"/>
      <c r="F40" s="1599"/>
      <c r="G40" s="1599"/>
      <c r="H40" t="s">
        <v>1</v>
      </c>
    </row>
    <row r="41" spans="1:8" ht="12.75">
      <c r="A41" s="261"/>
      <c r="B41" s="1599"/>
      <c r="C41" s="1599"/>
      <c r="D41" s="1599"/>
      <c r="E41" s="1599"/>
      <c r="F41" s="1599"/>
      <c r="G41" s="1599"/>
      <c r="H41" t="s">
        <v>1</v>
      </c>
    </row>
    <row r="42" spans="1:8" ht="12.75">
      <c r="A42" s="261"/>
      <c r="B42" s="1599"/>
      <c r="C42" s="1599"/>
      <c r="D42" s="1599"/>
      <c r="E42" s="1599"/>
      <c r="F42" s="1599"/>
      <c r="G42" s="1599"/>
      <c r="H42" t="s">
        <v>1</v>
      </c>
    </row>
    <row r="43" spans="1:8" ht="12.75">
      <c r="A43" s="261"/>
      <c r="B43" s="1599"/>
      <c r="C43" s="1599"/>
      <c r="D43" s="1599"/>
      <c r="E43" s="1599"/>
      <c r="F43" s="1599"/>
      <c r="G43" s="1599"/>
      <c r="H43" t="s">
        <v>1</v>
      </c>
    </row>
    <row r="44" spans="1:8" ht="12.75">
      <c r="A44" s="261"/>
      <c r="B44" s="1599"/>
      <c r="C44" s="1599"/>
      <c r="D44" s="1599"/>
      <c r="E44" s="1599"/>
      <c r="F44" s="1599"/>
      <c r="G44" s="1599"/>
      <c r="H44" t="s">
        <v>1</v>
      </c>
    </row>
    <row r="45" spans="1:8" ht="0.75" customHeight="1">
      <c r="A45" s="261"/>
      <c r="B45" s="1599"/>
      <c r="C45" s="1599"/>
      <c r="D45" s="1599"/>
      <c r="E45" s="1599"/>
      <c r="F45" s="1599"/>
      <c r="G45" s="1599"/>
      <c r="H45" t="s">
        <v>1</v>
      </c>
    </row>
    <row r="46" spans="2:7" ht="12.75">
      <c r="B46" s="1600"/>
      <c r="C46" s="1600"/>
      <c r="D46" s="1600"/>
      <c r="E46" s="1600"/>
      <c r="F46" s="1600"/>
      <c r="G46" s="1600"/>
    </row>
    <row r="47" spans="2:7" ht="12.75">
      <c r="B47" s="1600"/>
      <c r="C47" s="1600"/>
      <c r="D47" s="1600"/>
      <c r="E47" s="1600"/>
      <c r="F47" s="1600"/>
      <c r="G47" s="1600"/>
    </row>
    <row r="48" spans="2:7" ht="12.75">
      <c r="B48" s="1600"/>
      <c r="C48" s="1600"/>
      <c r="D48" s="1600"/>
      <c r="E48" s="1600"/>
      <c r="F48" s="1600"/>
      <c r="G48" s="1600"/>
    </row>
    <row r="49" spans="2:7" ht="12.75">
      <c r="B49" s="1600"/>
      <c r="C49" s="1600"/>
      <c r="D49" s="1600"/>
      <c r="E49" s="1600"/>
      <c r="F49" s="1600"/>
      <c r="G49" s="1600"/>
    </row>
    <row r="50" spans="2:7" ht="12.75">
      <c r="B50" s="1600"/>
      <c r="C50" s="1600"/>
      <c r="D50" s="1600"/>
      <c r="E50" s="1600"/>
      <c r="F50" s="1600"/>
      <c r="G50" s="1600"/>
    </row>
    <row r="51" spans="2:7" ht="12.75">
      <c r="B51" s="1600"/>
      <c r="C51" s="1600"/>
      <c r="D51" s="1600"/>
      <c r="E51" s="1600"/>
      <c r="F51" s="1600"/>
      <c r="G51" s="1600"/>
    </row>
    <row r="52" spans="2:7" ht="12.75">
      <c r="B52" s="1600"/>
      <c r="C52" s="1600"/>
      <c r="D52" s="1600"/>
      <c r="E52" s="1600"/>
      <c r="F52" s="1600"/>
      <c r="G52" s="1600"/>
    </row>
    <row r="53" spans="2:7" ht="12.75">
      <c r="B53" s="1600"/>
      <c r="C53" s="1600"/>
      <c r="D53" s="1600"/>
      <c r="E53" s="1600"/>
      <c r="F53" s="1600"/>
      <c r="G53" s="1600"/>
    </row>
    <row r="54" spans="2:7" ht="12.75">
      <c r="B54" s="1600"/>
      <c r="C54" s="1600"/>
      <c r="D54" s="1600"/>
      <c r="E54" s="1600"/>
      <c r="F54" s="1600"/>
      <c r="G54" s="1600"/>
    </row>
    <row r="55" spans="2:7" ht="12.75">
      <c r="B55" s="1600"/>
      <c r="C55" s="1600"/>
      <c r="D55" s="1600"/>
      <c r="E55" s="1600"/>
      <c r="F55" s="1600"/>
      <c r="G55" s="1600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E78"/>
  <sheetViews>
    <sheetView workbookViewId="0" topLeftCell="A1">
      <selection activeCell="W44" sqref="W4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  <col min="257" max="257" width="5.875" style="0" customWidth="1"/>
    <col min="258" max="258" width="6.125" style="0" customWidth="1"/>
    <col min="259" max="259" width="11.50390625" style="0" customWidth="1"/>
    <col min="260" max="260" width="15.875" style="0" customWidth="1"/>
    <col min="261" max="261" width="11.37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625" style="0" customWidth="1"/>
    <col min="513" max="513" width="5.875" style="0" customWidth="1"/>
    <col min="514" max="514" width="6.125" style="0" customWidth="1"/>
    <col min="515" max="515" width="11.50390625" style="0" customWidth="1"/>
    <col min="516" max="516" width="15.875" style="0" customWidth="1"/>
    <col min="517" max="517" width="11.37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625" style="0" customWidth="1"/>
    <col min="769" max="769" width="5.875" style="0" customWidth="1"/>
    <col min="770" max="770" width="6.125" style="0" customWidth="1"/>
    <col min="771" max="771" width="11.50390625" style="0" customWidth="1"/>
    <col min="772" max="772" width="15.875" style="0" customWidth="1"/>
    <col min="773" max="773" width="11.37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625" style="0" customWidth="1"/>
    <col min="1025" max="1025" width="5.875" style="0" customWidth="1"/>
    <col min="1026" max="1026" width="6.125" style="0" customWidth="1"/>
    <col min="1027" max="1027" width="11.50390625" style="0" customWidth="1"/>
    <col min="1028" max="1028" width="15.875" style="0" customWidth="1"/>
    <col min="1029" max="1029" width="11.37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625" style="0" customWidth="1"/>
    <col min="1281" max="1281" width="5.875" style="0" customWidth="1"/>
    <col min="1282" max="1282" width="6.125" style="0" customWidth="1"/>
    <col min="1283" max="1283" width="11.50390625" style="0" customWidth="1"/>
    <col min="1284" max="1284" width="15.875" style="0" customWidth="1"/>
    <col min="1285" max="1285" width="11.37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625" style="0" customWidth="1"/>
    <col min="1537" max="1537" width="5.875" style="0" customWidth="1"/>
    <col min="1538" max="1538" width="6.125" style="0" customWidth="1"/>
    <col min="1539" max="1539" width="11.50390625" style="0" customWidth="1"/>
    <col min="1540" max="1540" width="15.875" style="0" customWidth="1"/>
    <col min="1541" max="1541" width="11.37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625" style="0" customWidth="1"/>
    <col min="1793" max="1793" width="5.875" style="0" customWidth="1"/>
    <col min="1794" max="1794" width="6.125" style="0" customWidth="1"/>
    <col min="1795" max="1795" width="11.50390625" style="0" customWidth="1"/>
    <col min="1796" max="1796" width="15.875" style="0" customWidth="1"/>
    <col min="1797" max="1797" width="11.37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625" style="0" customWidth="1"/>
    <col min="2049" max="2049" width="5.875" style="0" customWidth="1"/>
    <col min="2050" max="2050" width="6.125" style="0" customWidth="1"/>
    <col min="2051" max="2051" width="11.50390625" style="0" customWidth="1"/>
    <col min="2052" max="2052" width="15.875" style="0" customWidth="1"/>
    <col min="2053" max="2053" width="11.37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625" style="0" customWidth="1"/>
    <col min="2305" max="2305" width="5.875" style="0" customWidth="1"/>
    <col min="2306" max="2306" width="6.125" style="0" customWidth="1"/>
    <col min="2307" max="2307" width="11.50390625" style="0" customWidth="1"/>
    <col min="2308" max="2308" width="15.875" style="0" customWidth="1"/>
    <col min="2309" max="2309" width="11.37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625" style="0" customWidth="1"/>
    <col min="2561" max="2561" width="5.875" style="0" customWidth="1"/>
    <col min="2562" max="2562" width="6.125" style="0" customWidth="1"/>
    <col min="2563" max="2563" width="11.50390625" style="0" customWidth="1"/>
    <col min="2564" max="2564" width="15.875" style="0" customWidth="1"/>
    <col min="2565" max="2565" width="11.37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625" style="0" customWidth="1"/>
    <col min="2817" max="2817" width="5.875" style="0" customWidth="1"/>
    <col min="2818" max="2818" width="6.125" style="0" customWidth="1"/>
    <col min="2819" max="2819" width="11.50390625" style="0" customWidth="1"/>
    <col min="2820" max="2820" width="15.875" style="0" customWidth="1"/>
    <col min="2821" max="2821" width="11.37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625" style="0" customWidth="1"/>
    <col min="3073" max="3073" width="5.875" style="0" customWidth="1"/>
    <col min="3074" max="3074" width="6.125" style="0" customWidth="1"/>
    <col min="3075" max="3075" width="11.50390625" style="0" customWidth="1"/>
    <col min="3076" max="3076" width="15.875" style="0" customWidth="1"/>
    <col min="3077" max="3077" width="11.37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625" style="0" customWidth="1"/>
    <col min="3329" max="3329" width="5.875" style="0" customWidth="1"/>
    <col min="3330" max="3330" width="6.125" style="0" customWidth="1"/>
    <col min="3331" max="3331" width="11.50390625" style="0" customWidth="1"/>
    <col min="3332" max="3332" width="15.875" style="0" customWidth="1"/>
    <col min="3333" max="3333" width="11.37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625" style="0" customWidth="1"/>
    <col min="3585" max="3585" width="5.875" style="0" customWidth="1"/>
    <col min="3586" max="3586" width="6.125" style="0" customWidth="1"/>
    <col min="3587" max="3587" width="11.50390625" style="0" customWidth="1"/>
    <col min="3588" max="3588" width="15.875" style="0" customWidth="1"/>
    <col min="3589" max="3589" width="11.37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625" style="0" customWidth="1"/>
    <col min="3841" max="3841" width="5.875" style="0" customWidth="1"/>
    <col min="3842" max="3842" width="6.125" style="0" customWidth="1"/>
    <col min="3843" max="3843" width="11.50390625" style="0" customWidth="1"/>
    <col min="3844" max="3844" width="15.875" style="0" customWidth="1"/>
    <col min="3845" max="3845" width="11.37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625" style="0" customWidth="1"/>
    <col min="4097" max="4097" width="5.875" style="0" customWidth="1"/>
    <col min="4098" max="4098" width="6.125" style="0" customWidth="1"/>
    <col min="4099" max="4099" width="11.50390625" style="0" customWidth="1"/>
    <col min="4100" max="4100" width="15.875" style="0" customWidth="1"/>
    <col min="4101" max="4101" width="11.37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625" style="0" customWidth="1"/>
    <col min="4353" max="4353" width="5.875" style="0" customWidth="1"/>
    <col min="4354" max="4354" width="6.125" style="0" customWidth="1"/>
    <col min="4355" max="4355" width="11.50390625" style="0" customWidth="1"/>
    <col min="4356" max="4356" width="15.875" style="0" customWidth="1"/>
    <col min="4357" max="4357" width="11.37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625" style="0" customWidth="1"/>
    <col min="4609" max="4609" width="5.875" style="0" customWidth="1"/>
    <col min="4610" max="4610" width="6.125" style="0" customWidth="1"/>
    <col min="4611" max="4611" width="11.50390625" style="0" customWidth="1"/>
    <col min="4612" max="4612" width="15.875" style="0" customWidth="1"/>
    <col min="4613" max="4613" width="11.37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625" style="0" customWidth="1"/>
    <col min="4865" max="4865" width="5.875" style="0" customWidth="1"/>
    <col min="4866" max="4866" width="6.125" style="0" customWidth="1"/>
    <col min="4867" max="4867" width="11.50390625" style="0" customWidth="1"/>
    <col min="4868" max="4868" width="15.875" style="0" customWidth="1"/>
    <col min="4869" max="4869" width="11.37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625" style="0" customWidth="1"/>
    <col min="5121" max="5121" width="5.875" style="0" customWidth="1"/>
    <col min="5122" max="5122" width="6.125" style="0" customWidth="1"/>
    <col min="5123" max="5123" width="11.50390625" style="0" customWidth="1"/>
    <col min="5124" max="5124" width="15.875" style="0" customWidth="1"/>
    <col min="5125" max="5125" width="11.37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625" style="0" customWidth="1"/>
    <col min="5377" max="5377" width="5.875" style="0" customWidth="1"/>
    <col min="5378" max="5378" width="6.125" style="0" customWidth="1"/>
    <col min="5379" max="5379" width="11.50390625" style="0" customWidth="1"/>
    <col min="5380" max="5380" width="15.875" style="0" customWidth="1"/>
    <col min="5381" max="5381" width="11.37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625" style="0" customWidth="1"/>
    <col min="5633" max="5633" width="5.875" style="0" customWidth="1"/>
    <col min="5634" max="5634" width="6.125" style="0" customWidth="1"/>
    <col min="5635" max="5635" width="11.50390625" style="0" customWidth="1"/>
    <col min="5636" max="5636" width="15.875" style="0" customWidth="1"/>
    <col min="5637" max="5637" width="11.37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625" style="0" customWidth="1"/>
    <col min="5889" max="5889" width="5.875" style="0" customWidth="1"/>
    <col min="5890" max="5890" width="6.125" style="0" customWidth="1"/>
    <col min="5891" max="5891" width="11.50390625" style="0" customWidth="1"/>
    <col min="5892" max="5892" width="15.875" style="0" customWidth="1"/>
    <col min="5893" max="5893" width="11.37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625" style="0" customWidth="1"/>
    <col min="6145" max="6145" width="5.875" style="0" customWidth="1"/>
    <col min="6146" max="6146" width="6.125" style="0" customWidth="1"/>
    <col min="6147" max="6147" width="11.50390625" style="0" customWidth="1"/>
    <col min="6148" max="6148" width="15.875" style="0" customWidth="1"/>
    <col min="6149" max="6149" width="11.37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625" style="0" customWidth="1"/>
    <col min="6401" max="6401" width="5.875" style="0" customWidth="1"/>
    <col min="6402" max="6402" width="6.125" style="0" customWidth="1"/>
    <col min="6403" max="6403" width="11.50390625" style="0" customWidth="1"/>
    <col min="6404" max="6404" width="15.875" style="0" customWidth="1"/>
    <col min="6405" max="6405" width="11.37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625" style="0" customWidth="1"/>
    <col min="6657" max="6657" width="5.875" style="0" customWidth="1"/>
    <col min="6658" max="6658" width="6.125" style="0" customWidth="1"/>
    <col min="6659" max="6659" width="11.50390625" style="0" customWidth="1"/>
    <col min="6660" max="6660" width="15.875" style="0" customWidth="1"/>
    <col min="6661" max="6661" width="11.37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625" style="0" customWidth="1"/>
    <col min="6913" max="6913" width="5.875" style="0" customWidth="1"/>
    <col min="6914" max="6914" width="6.125" style="0" customWidth="1"/>
    <col min="6915" max="6915" width="11.50390625" style="0" customWidth="1"/>
    <col min="6916" max="6916" width="15.875" style="0" customWidth="1"/>
    <col min="6917" max="6917" width="11.37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625" style="0" customWidth="1"/>
    <col min="7169" max="7169" width="5.875" style="0" customWidth="1"/>
    <col min="7170" max="7170" width="6.125" style="0" customWidth="1"/>
    <col min="7171" max="7171" width="11.50390625" style="0" customWidth="1"/>
    <col min="7172" max="7172" width="15.875" style="0" customWidth="1"/>
    <col min="7173" max="7173" width="11.37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625" style="0" customWidth="1"/>
    <col min="7425" max="7425" width="5.875" style="0" customWidth="1"/>
    <col min="7426" max="7426" width="6.125" style="0" customWidth="1"/>
    <col min="7427" max="7427" width="11.50390625" style="0" customWidth="1"/>
    <col min="7428" max="7428" width="15.875" style="0" customWidth="1"/>
    <col min="7429" max="7429" width="11.37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625" style="0" customWidth="1"/>
    <col min="7681" max="7681" width="5.875" style="0" customWidth="1"/>
    <col min="7682" max="7682" width="6.125" style="0" customWidth="1"/>
    <col min="7683" max="7683" width="11.50390625" style="0" customWidth="1"/>
    <col min="7684" max="7684" width="15.875" style="0" customWidth="1"/>
    <col min="7685" max="7685" width="11.37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625" style="0" customWidth="1"/>
    <col min="7937" max="7937" width="5.875" style="0" customWidth="1"/>
    <col min="7938" max="7938" width="6.125" style="0" customWidth="1"/>
    <col min="7939" max="7939" width="11.50390625" style="0" customWidth="1"/>
    <col min="7940" max="7940" width="15.875" style="0" customWidth="1"/>
    <col min="7941" max="7941" width="11.37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625" style="0" customWidth="1"/>
    <col min="8193" max="8193" width="5.875" style="0" customWidth="1"/>
    <col min="8194" max="8194" width="6.125" style="0" customWidth="1"/>
    <col min="8195" max="8195" width="11.50390625" style="0" customWidth="1"/>
    <col min="8196" max="8196" width="15.875" style="0" customWidth="1"/>
    <col min="8197" max="8197" width="11.37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625" style="0" customWidth="1"/>
    <col min="8449" max="8449" width="5.875" style="0" customWidth="1"/>
    <col min="8450" max="8450" width="6.125" style="0" customWidth="1"/>
    <col min="8451" max="8451" width="11.50390625" style="0" customWidth="1"/>
    <col min="8452" max="8452" width="15.875" style="0" customWidth="1"/>
    <col min="8453" max="8453" width="11.37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625" style="0" customWidth="1"/>
    <col min="8705" max="8705" width="5.875" style="0" customWidth="1"/>
    <col min="8706" max="8706" width="6.125" style="0" customWidth="1"/>
    <col min="8707" max="8707" width="11.50390625" style="0" customWidth="1"/>
    <col min="8708" max="8708" width="15.875" style="0" customWidth="1"/>
    <col min="8709" max="8709" width="11.37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625" style="0" customWidth="1"/>
    <col min="8961" max="8961" width="5.875" style="0" customWidth="1"/>
    <col min="8962" max="8962" width="6.125" style="0" customWidth="1"/>
    <col min="8963" max="8963" width="11.50390625" style="0" customWidth="1"/>
    <col min="8964" max="8964" width="15.875" style="0" customWidth="1"/>
    <col min="8965" max="8965" width="11.37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625" style="0" customWidth="1"/>
    <col min="9217" max="9217" width="5.875" style="0" customWidth="1"/>
    <col min="9218" max="9218" width="6.125" style="0" customWidth="1"/>
    <col min="9219" max="9219" width="11.50390625" style="0" customWidth="1"/>
    <col min="9220" max="9220" width="15.875" style="0" customWidth="1"/>
    <col min="9221" max="9221" width="11.37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625" style="0" customWidth="1"/>
    <col min="9473" max="9473" width="5.875" style="0" customWidth="1"/>
    <col min="9474" max="9474" width="6.125" style="0" customWidth="1"/>
    <col min="9475" max="9475" width="11.50390625" style="0" customWidth="1"/>
    <col min="9476" max="9476" width="15.875" style="0" customWidth="1"/>
    <col min="9477" max="9477" width="11.37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625" style="0" customWidth="1"/>
    <col min="9729" max="9729" width="5.875" style="0" customWidth="1"/>
    <col min="9730" max="9730" width="6.125" style="0" customWidth="1"/>
    <col min="9731" max="9731" width="11.50390625" style="0" customWidth="1"/>
    <col min="9732" max="9732" width="15.875" style="0" customWidth="1"/>
    <col min="9733" max="9733" width="11.37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625" style="0" customWidth="1"/>
    <col min="9985" max="9985" width="5.875" style="0" customWidth="1"/>
    <col min="9986" max="9986" width="6.125" style="0" customWidth="1"/>
    <col min="9987" max="9987" width="11.50390625" style="0" customWidth="1"/>
    <col min="9988" max="9988" width="15.875" style="0" customWidth="1"/>
    <col min="9989" max="9989" width="11.37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625" style="0" customWidth="1"/>
    <col min="10241" max="10241" width="5.875" style="0" customWidth="1"/>
    <col min="10242" max="10242" width="6.125" style="0" customWidth="1"/>
    <col min="10243" max="10243" width="11.50390625" style="0" customWidth="1"/>
    <col min="10244" max="10244" width="15.875" style="0" customWidth="1"/>
    <col min="10245" max="10245" width="11.37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625" style="0" customWidth="1"/>
    <col min="10497" max="10497" width="5.875" style="0" customWidth="1"/>
    <col min="10498" max="10498" width="6.125" style="0" customWidth="1"/>
    <col min="10499" max="10499" width="11.50390625" style="0" customWidth="1"/>
    <col min="10500" max="10500" width="15.875" style="0" customWidth="1"/>
    <col min="10501" max="10501" width="11.37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625" style="0" customWidth="1"/>
    <col min="10753" max="10753" width="5.875" style="0" customWidth="1"/>
    <col min="10754" max="10754" width="6.125" style="0" customWidth="1"/>
    <col min="10755" max="10755" width="11.50390625" style="0" customWidth="1"/>
    <col min="10756" max="10756" width="15.875" style="0" customWidth="1"/>
    <col min="10757" max="10757" width="11.37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625" style="0" customWidth="1"/>
    <col min="11009" max="11009" width="5.875" style="0" customWidth="1"/>
    <col min="11010" max="11010" width="6.125" style="0" customWidth="1"/>
    <col min="11011" max="11011" width="11.50390625" style="0" customWidth="1"/>
    <col min="11012" max="11012" width="15.875" style="0" customWidth="1"/>
    <col min="11013" max="11013" width="11.37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625" style="0" customWidth="1"/>
    <col min="11265" max="11265" width="5.875" style="0" customWidth="1"/>
    <col min="11266" max="11266" width="6.125" style="0" customWidth="1"/>
    <col min="11267" max="11267" width="11.50390625" style="0" customWidth="1"/>
    <col min="11268" max="11268" width="15.875" style="0" customWidth="1"/>
    <col min="11269" max="11269" width="11.37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625" style="0" customWidth="1"/>
    <col min="11521" max="11521" width="5.875" style="0" customWidth="1"/>
    <col min="11522" max="11522" width="6.125" style="0" customWidth="1"/>
    <col min="11523" max="11523" width="11.50390625" style="0" customWidth="1"/>
    <col min="11524" max="11524" width="15.875" style="0" customWidth="1"/>
    <col min="11525" max="11525" width="11.37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625" style="0" customWidth="1"/>
    <col min="11777" max="11777" width="5.875" style="0" customWidth="1"/>
    <col min="11778" max="11778" width="6.125" style="0" customWidth="1"/>
    <col min="11779" max="11779" width="11.50390625" style="0" customWidth="1"/>
    <col min="11780" max="11780" width="15.875" style="0" customWidth="1"/>
    <col min="11781" max="11781" width="11.37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625" style="0" customWidth="1"/>
    <col min="12033" max="12033" width="5.875" style="0" customWidth="1"/>
    <col min="12034" max="12034" width="6.125" style="0" customWidth="1"/>
    <col min="12035" max="12035" width="11.50390625" style="0" customWidth="1"/>
    <col min="12036" max="12036" width="15.875" style="0" customWidth="1"/>
    <col min="12037" max="12037" width="11.37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625" style="0" customWidth="1"/>
    <col min="12289" max="12289" width="5.875" style="0" customWidth="1"/>
    <col min="12290" max="12290" width="6.125" style="0" customWidth="1"/>
    <col min="12291" max="12291" width="11.50390625" style="0" customWidth="1"/>
    <col min="12292" max="12292" width="15.875" style="0" customWidth="1"/>
    <col min="12293" max="12293" width="11.37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625" style="0" customWidth="1"/>
    <col min="12545" max="12545" width="5.875" style="0" customWidth="1"/>
    <col min="12546" max="12546" width="6.125" style="0" customWidth="1"/>
    <col min="12547" max="12547" width="11.50390625" style="0" customWidth="1"/>
    <col min="12548" max="12548" width="15.875" style="0" customWidth="1"/>
    <col min="12549" max="12549" width="11.37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625" style="0" customWidth="1"/>
    <col min="12801" max="12801" width="5.875" style="0" customWidth="1"/>
    <col min="12802" max="12802" width="6.125" style="0" customWidth="1"/>
    <col min="12803" max="12803" width="11.50390625" style="0" customWidth="1"/>
    <col min="12804" max="12804" width="15.875" style="0" customWidth="1"/>
    <col min="12805" max="12805" width="11.37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625" style="0" customWidth="1"/>
    <col min="13057" max="13057" width="5.875" style="0" customWidth="1"/>
    <col min="13058" max="13058" width="6.125" style="0" customWidth="1"/>
    <col min="13059" max="13059" width="11.50390625" style="0" customWidth="1"/>
    <col min="13060" max="13060" width="15.875" style="0" customWidth="1"/>
    <col min="13061" max="13061" width="11.37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625" style="0" customWidth="1"/>
    <col min="13313" max="13313" width="5.875" style="0" customWidth="1"/>
    <col min="13314" max="13314" width="6.125" style="0" customWidth="1"/>
    <col min="13315" max="13315" width="11.50390625" style="0" customWidth="1"/>
    <col min="13316" max="13316" width="15.875" style="0" customWidth="1"/>
    <col min="13317" max="13317" width="11.37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625" style="0" customWidth="1"/>
    <col min="13569" max="13569" width="5.875" style="0" customWidth="1"/>
    <col min="13570" max="13570" width="6.125" style="0" customWidth="1"/>
    <col min="13571" max="13571" width="11.50390625" style="0" customWidth="1"/>
    <col min="13572" max="13572" width="15.875" style="0" customWidth="1"/>
    <col min="13573" max="13573" width="11.37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625" style="0" customWidth="1"/>
    <col min="13825" max="13825" width="5.875" style="0" customWidth="1"/>
    <col min="13826" max="13826" width="6.125" style="0" customWidth="1"/>
    <col min="13827" max="13827" width="11.50390625" style="0" customWidth="1"/>
    <col min="13828" max="13828" width="15.875" style="0" customWidth="1"/>
    <col min="13829" max="13829" width="11.37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625" style="0" customWidth="1"/>
    <col min="14081" max="14081" width="5.875" style="0" customWidth="1"/>
    <col min="14082" max="14082" width="6.125" style="0" customWidth="1"/>
    <col min="14083" max="14083" width="11.50390625" style="0" customWidth="1"/>
    <col min="14084" max="14084" width="15.875" style="0" customWidth="1"/>
    <col min="14085" max="14085" width="11.37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625" style="0" customWidth="1"/>
    <col min="14337" max="14337" width="5.875" style="0" customWidth="1"/>
    <col min="14338" max="14338" width="6.125" style="0" customWidth="1"/>
    <col min="14339" max="14339" width="11.50390625" style="0" customWidth="1"/>
    <col min="14340" max="14340" width="15.875" style="0" customWidth="1"/>
    <col min="14341" max="14341" width="11.37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625" style="0" customWidth="1"/>
    <col min="14593" max="14593" width="5.875" style="0" customWidth="1"/>
    <col min="14594" max="14594" width="6.125" style="0" customWidth="1"/>
    <col min="14595" max="14595" width="11.50390625" style="0" customWidth="1"/>
    <col min="14596" max="14596" width="15.875" style="0" customWidth="1"/>
    <col min="14597" max="14597" width="11.37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625" style="0" customWidth="1"/>
    <col min="14849" max="14849" width="5.875" style="0" customWidth="1"/>
    <col min="14850" max="14850" width="6.125" style="0" customWidth="1"/>
    <col min="14851" max="14851" width="11.50390625" style="0" customWidth="1"/>
    <col min="14852" max="14852" width="15.875" style="0" customWidth="1"/>
    <col min="14853" max="14853" width="11.37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625" style="0" customWidth="1"/>
    <col min="15105" max="15105" width="5.875" style="0" customWidth="1"/>
    <col min="15106" max="15106" width="6.125" style="0" customWidth="1"/>
    <col min="15107" max="15107" width="11.50390625" style="0" customWidth="1"/>
    <col min="15108" max="15108" width="15.875" style="0" customWidth="1"/>
    <col min="15109" max="15109" width="11.37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625" style="0" customWidth="1"/>
    <col min="15361" max="15361" width="5.875" style="0" customWidth="1"/>
    <col min="15362" max="15362" width="6.125" style="0" customWidth="1"/>
    <col min="15363" max="15363" width="11.50390625" style="0" customWidth="1"/>
    <col min="15364" max="15364" width="15.875" style="0" customWidth="1"/>
    <col min="15365" max="15365" width="11.37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625" style="0" customWidth="1"/>
    <col min="15617" max="15617" width="5.875" style="0" customWidth="1"/>
    <col min="15618" max="15618" width="6.125" style="0" customWidth="1"/>
    <col min="15619" max="15619" width="11.50390625" style="0" customWidth="1"/>
    <col min="15620" max="15620" width="15.875" style="0" customWidth="1"/>
    <col min="15621" max="15621" width="11.37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625" style="0" customWidth="1"/>
    <col min="15873" max="15873" width="5.875" style="0" customWidth="1"/>
    <col min="15874" max="15874" width="6.125" style="0" customWidth="1"/>
    <col min="15875" max="15875" width="11.50390625" style="0" customWidth="1"/>
    <col min="15876" max="15876" width="15.875" style="0" customWidth="1"/>
    <col min="15877" max="15877" width="11.37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625" style="0" customWidth="1"/>
    <col min="16129" max="16129" width="5.875" style="0" customWidth="1"/>
    <col min="16130" max="16130" width="6.125" style="0" customWidth="1"/>
    <col min="16131" max="16131" width="11.50390625" style="0" customWidth="1"/>
    <col min="16132" max="16132" width="15.875" style="0" customWidth="1"/>
    <col min="16133" max="16133" width="11.37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625" style="0" customWidth="1"/>
  </cols>
  <sheetData>
    <row r="1" spans="1:9" ht="13.8" thickTop="1">
      <c r="A1" s="1579" t="s">
        <v>2</v>
      </c>
      <c r="B1" s="1580"/>
      <c r="C1" s="102" t="str">
        <f>CONCATENATE(nzuilozui," ",asdeertvaetr)</f>
        <v>2013/88 Lednice zahrady</v>
      </c>
      <c r="D1" s="100"/>
      <c r="E1" s="101"/>
      <c r="F1" s="100"/>
      <c r="G1" s="99" t="s">
        <v>81</v>
      </c>
      <c r="H1" s="98"/>
      <c r="I1" s="97"/>
    </row>
    <row r="2" spans="1:9" ht="13.8" thickBot="1">
      <c r="A2" s="1581" t="s">
        <v>79</v>
      </c>
      <c r="B2" s="1582"/>
      <c r="C2" s="96" t="str">
        <f>CONCATENATE(zuiokzuikz," ",qervqertvase)</f>
        <v>11a Akumulační nádrž</v>
      </c>
      <c r="D2" s="94"/>
      <c r="E2" s="95"/>
      <c r="F2" s="94"/>
      <c r="G2" s="1583" t="s">
        <v>2174</v>
      </c>
      <c r="H2" s="1584"/>
      <c r="I2" s="1585"/>
    </row>
    <row r="3" spans="1:9" ht="13.8" thickTop="1">
      <c r="A3" s="1"/>
      <c r="B3" s="1"/>
      <c r="C3" s="1"/>
      <c r="D3" s="1"/>
      <c r="E3" s="1"/>
      <c r="F3" s="74"/>
      <c r="G3" s="1"/>
      <c r="H3" s="1"/>
      <c r="I3" s="1"/>
    </row>
    <row r="4" spans="1:9" ht="19.5" customHeight="1">
      <c r="A4" s="93" t="s">
        <v>76</v>
      </c>
      <c r="B4" s="72"/>
      <c r="C4" s="72"/>
      <c r="D4" s="72"/>
      <c r="E4" s="92"/>
      <c r="F4" s="72"/>
      <c r="G4" s="72"/>
      <c r="H4" s="72"/>
      <c r="I4" s="72"/>
    </row>
    <row r="5" spans="1:9" ht="13.8" thickBot="1">
      <c r="A5" s="1"/>
      <c r="B5" s="1"/>
      <c r="C5" s="1"/>
      <c r="D5" s="1"/>
      <c r="E5" s="1"/>
      <c r="F5" s="1"/>
      <c r="G5" s="1"/>
      <c r="H5" s="1"/>
      <c r="I5" s="1"/>
    </row>
    <row r="6" spans="1:9" s="256" customFormat="1" ht="13.8" thickBot="1">
      <c r="A6" s="91"/>
      <c r="B6" s="90" t="s">
        <v>75</v>
      </c>
      <c r="C6" s="90"/>
      <c r="D6" s="89"/>
      <c r="E6" s="88" t="s">
        <v>74</v>
      </c>
      <c r="F6" s="87" t="s">
        <v>73</v>
      </c>
      <c r="G6" s="87" t="s">
        <v>72</v>
      </c>
      <c r="H6" s="87" t="s">
        <v>71</v>
      </c>
      <c r="I6" s="86" t="s">
        <v>70</v>
      </c>
    </row>
    <row r="7" spans="1:9" s="256" customFormat="1" ht="12.75">
      <c r="A7" s="85" t="str">
        <f>'z11aP'!B7</f>
        <v>1</v>
      </c>
      <c r="B7" s="35" t="str">
        <f>'z11aP'!C7</f>
        <v>Zemní práce</v>
      </c>
      <c r="C7" s="74"/>
      <c r="D7" s="84"/>
      <c r="E7" s="83">
        <f>'z11aP'!BA12</f>
        <v>0</v>
      </c>
      <c r="F7" s="82">
        <f>'z11aP'!BB12</f>
        <v>0</v>
      </c>
      <c r="G7" s="82">
        <f>'z11aP'!BC12</f>
        <v>0</v>
      </c>
      <c r="H7" s="82">
        <f>'z11aP'!BD12</f>
        <v>0</v>
      </c>
      <c r="I7" s="81">
        <f>'z11aP'!BE12</f>
        <v>0</v>
      </c>
    </row>
    <row r="8" spans="1:9" s="256" customFormat="1" ht="12.75">
      <c r="A8" s="85" t="str">
        <f>'z11aP'!B13</f>
        <v>2</v>
      </c>
      <c r="B8" s="35" t="str">
        <f>'z11aP'!C13</f>
        <v>Základy a zvláštní zakládání</v>
      </c>
      <c r="C8" s="74"/>
      <c r="D8" s="84"/>
      <c r="E8" s="83">
        <f>'z11aP'!BA21</f>
        <v>0</v>
      </c>
      <c r="F8" s="82">
        <f>'z11aP'!BB21</f>
        <v>0</v>
      </c>
      <c r="G8" s="82">
        <f>'z11aP'!BC21</f>
        <v>0</v>
      </c>
      <c r="H8" s="82">
        <f>'z11aP'!BD21</f>
        <v>0</v>
      </c>
      <c r="I8" s="81">
        <f>'z11aP'!BE21</f>
        <v>0</v>
      </c>
    </row>
    <row r="9" spans="1:9" s="256" customFormat="1" ht="12.75">
      <c r="A9" s="85" t="str">
        <f>'z11aP'!B22</f>
        <v>96</v>
      </c>
      <c r="B9" s="35" t="str">
        <f>'z11aP'!C22</f>
        <v>Bourání konstrukcí</v>
      </c>
      <c r="C9" s="74"/>
      <c r="D9" s="84"/>
      <c r="E9" s="83">
        <f>'z11aP'!BA30</f>
        <v>0</v>
      </c>
      <c r="F9" s="82">
        <f>'z11aP'!BB30</f>
        <v>0</v>
      </c>
      <c r="G9" s="82">
        <f>'z11aP'!BC30</f>
        <v>0</v>
      </c>
      <c r="H9" s="82">
        <f>'z11aP'!BD30</f>
        <v>0</v>
      </c>
      <c r="I9" s="81">
        <f>'z11aP'!BE30</f>
        <v>0</v>
      </c>
    </row>
    <row r="10" spans="1:9" s="256" customFormat="1" ht="12.75">
      <c r="A10" s="85" t="str">
        <f>'z11aP'!B31</f>
        <v>99</v>
      </c>
      <c r="B10" s="35" t="str">
        <f>'z11aP'!C31</f>
        <v>Staveništní přesun hmot</v>
      </c>
      <c r="C10" s="74"/>
      <c r="D10" s="84"/>
      <c r="E10" s="83">
        <f>'z11aP'!BA33</f>
        <v>0</v>
      </c>
      <c r="F10" s="82">
        <f>'z11aP'!BB33</f>
        <v>0</v>
      </c>
      <c r="G10" s="82">
        <f>'z11aP'!BC33</f>
        <v>0</v>
      </c>
      <c r="H10" s="82">
        <f>'z11aP'!BD33</f>
        <v>0</v>
      </c>
      <c r="I10" s="81">
        <f>'z11aP'!BE33</f>
        <v>0</v>
      </c>
    </row>
    <row r="11" spans="1:9" s="256" customFormat="1" ht="12.75">
      <c r="A11" s="85" t="str">
        <f>'z11aP'!B34</f>
        <v>767</v>
      </c>
      <c r="B11" s="35" t="str">
        <f>'z11aP'!C34</f>
        <v>Konstrukce zámečnické</v>
      </c>
      <c r="C11" s="74"/>
      <c r="D11" s="84"/>
      <c r="E11" s="83">
        <f>'z11aP'!BA73</f>
        <v>0</v>
      </c>
      <c r="F11" s="82">
        <f>'z11aP'!BB73</f>
        <v>0</v>
      </c>
      <c r="G11" s="82">
        <f>'z11aP'!BC73</f>
        <v>0</v>
      </c>
      <c r="H11" s="82">
        <f>'z11aP'!BD73</f>
        <v>0</v>
      </c>
      <c r="I11" s="81">
        <f>'z11aP'!BE73</f>
        <v>0</v>
      </c>
    </row>
    <row r="12" spans="1:9" s="256" customFormat="1" ht="12.75">
      <c r="A12" s="85" t="str">
        <f>'z11aP'!B74</f>
        <v>783</v>
      </c>
      <c r="B12" s="35" t="str">
        <f>'z11aP'!C74</f>
        <v>Nátěry</v>
      </c>
      <c r="C12" s="74"/>
      <c r="D12" s="84"/>
      <c r="E12" s="83">
        <f>'z11aP'!BA79</f>
        <v>0</v>
      </c>
      <c r="F12" s="82">
        <f>'z11aP'!BB79</f>
        <v>0</v>
      </c>
      <c r="G12" s="82">
        <f>'z11aP'!BC79</f>
        <v>0</v>
      </c>
      <c r="H12" s="82">
        <f>'z11aP'!BD79</f>
        <v>0</v>
      </c>
      <c r="I12" s="81">
        <f>'z11aP'!BE79</f>
        <v>0</v>
      </c>
    </row>
    <row r="13" spans="1:9" s="256" customFormat="1" ht="13.8" thickBot="1">
      <c r="A13" s="85" t="str">
        <f>'z11aP'!B80</f>
        <v>D96</v>
      </c>
      <c r="B13" s="35" t="str">
        <f>'z11aP'!C80</f>
        <v>Přesuny suti a vybouraných hmot</v>
      </c>
      <c r="C13" s="74"/>
      <c r="D13" s="84"/>
      <c r="E13" s="83">
        <f>'z11aP'!BA86</f>
        <v>0</v>
      </c>
      <c r="F13" s="82">
        <f>'z11aP'!BB86</f>
        <v>0</v>
      </c>
      <c r="G13" s="82">
        <f>'z11aP'!BC86</f>
        <v>0</v>
      </c>
      <c r="H13" s="82">
        <f>'z11aP'!BD86</f>
        <v>0</v>
      </c>
      <c r="I13" s="81">
        <f>'z11aP'!BE86</f>
        <v>0</v>
      </c>
    </row>
    <row r="14" spans="1:9" s="262" customFormat="1" ht="13.8" thickBot="1">
      <c r="A14" s="80"/>
      <c r="B14" s="79" t="s">
        <v>69</v>
      </c>
      <c r="C14" s="79"/>
      <c r="D14" s="78"/>
      <c r="E14" s="77">
        <f>SUM(E7:E13)</f>
        <v>0</v>
      </c>
      <c r="F14" s="76">
        <f>SUM(F7:F13)</f>
        <v>0</v>
      </c>
      <c r="G14" s="76">
        <f>SUM(G7:G13)</f>
        <v>0</v>
      </c>
      <c r="H14" s="76">
        <f>SUM(H7:H13)</f>
        <v>0</v>
      </c>
      <c r="I14" s="75">
        <f>SUM(I7:I13)</f>
        <v>0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57" ht="19.5" customHeight="1">
      <c r="A16" s="72" t="s">
        <v>68</v>
      </c>
      <c r="B16" s="72"/>
      <c r="C16" s="72"/>
      <c r="D16" s="72"/>
      <c r="E16" s="72"/>
      <c r="F16" s="72"/>
      <c r="G16" s="73"/>
      <c r="H16" s="72"/>
      <c r="I16" s="72"/>
      <c r="BA16" s="258"/>
      <c r="BB16" s="258"/>
      <c r="BC16" s="258"/>
      <c r="BD16" s="258"/>
      <c r="BE16" s="258"/>
    </row>
    <row r="17" spans="1:9" ht="13.8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71" t="s">
        <v>67</v>
      </c>
      <c r="B18" s="70"/>
      <c r="C18" s="70"/>
      <c r="D18" s="69"/>
      <c r="E18" s="68" t="s">
        <v>65</v>
      </c>
      <c r="F18" s="67" t="s">
        <v>9</v>
      </c>
      <c r="G18" s="66" t="s">
        <v>66</v>
      </c>
      <c r="H18" s="65"/>
      <c r="I18" s="64" t="s">
        <v>65</v>
      </c>
    </row>
    <row r="19" spans="1:53" ht="12.75">
      <c r="A19" s="63" t="s">
        <v>64</v>
      </c>
      <c r="B19" s="62"/>
      <c r="C19" s="62"/>
      <c r="D19" s="61"/>
      <c r="E19" s="60">
        <v>0</v>
      </c>
      <c r="F19" s="59">
        <v>0</v>
      </c>
      <c r="G19" s="58">
        <f aca="true" t="shared" si="0" ref="G19:G26">CHOOSE(BA19+1,xcvb+zuokjjm,xcvb+zuokjjm+asdsfbagdyx,xcvb+zuokjjm+uiomůhj+asdsfbagdyx,xcvb,zuokjjm,asdsfbagdyx,uiomůhj,asdsfbagdyx+uiomůhj,0)</f>
        <v>0</v>
      </c>
      <c r="H19" s="57"/>
      <c r="I19" s="56">
        <f aca="true" t="shared" si="1" ref="I19:I26">E19+F19*G19/100</f>
        <v>0</v>
      </c>
      <c r="BA19">
        <v>0</v>
      </c>
    </row>
    <row r="20" spans="1:53" ht="12.75">
      <c r="A20" s="63" t="s">
        <v>63</v>
      </c>
      <c r="B20" s="62"/>
      <c r="C20" s="62"/>
      <c r="D20" s="61"/>
      <c r="E20" s="60">
        <v>0</v>
      </c>
      <c r="F20" s="59">
        <v>0</v>
      </c>
      <c r="G20" s="58">
        <f t="shared" si="0"/>
        <v>0</v>
      </c>
      <c r="H20" s="57"/>
      <c r="I20" s="56">
        <f t="shared" si="1"/>
        <v>0</v>
      </c>
      <c r="BA20">
        <v>0</v>
      </c>
    </row>
    <row r="21" spans="1:53" ht="12.75">
      <c r="A21" s="63" t="s">
        <v>62</v>
      </c>
      <c r="B21" s="62"/>
      <c r="C21" s="62"/>
      <c r="D21" s="61"/>
      <c r="E21" s="60">
        <v>0</v>
      </c>
      <c r="F21" s="59">
        <v>0</v>
      </c>
      <c r="G21" s="58">
        <f t="shared" si="0"/>
        <v>0</v>
      </c>
      <c r="H21" s="57"/>
      <c r="I21" s="56">
        <f t="shared" si="1"/>
        <v>0</v>
      </c>
      <c r="BA21">
        <v>0</v>
      </c>
    </row>
    <row r="22" spans="1:53" ht="12.75">
      <c r="A22" s="63" t="s">
        <v>61</v>
      </c>
      <c r="B22" s="62"/>
      <c r="C22" s="62"/>
      <c r="D22" s="61"/>
      <c r="E22" s="60">
        <v>0</v>
      </c>
      <c r="F22" s="59">
        <v>0</v>
      </c>
      <c r="G22" s="58">
        <f t="shared" si="0"/>
        <v>0</v>
      </c>
      <c r="H22" s="57"/>
      <c r="I22" s="56">
        <f t="shared" si="1"/>
        <v>0</v>
      </c>
      <c r="BA22">
        <v>0</v>
      </c>
    </row>
    <row r="23" spans="1:53" ht="12.75">
      <c r="A23" s="63" t="s">
        <v>60</v>
      </c>
      <c r="B23" s="62"/>
      <c r="C23" s="62"/>
      <c r="D23" s="61"/>
      <c r="E23" s="60">
        <v>0</v>
      </c>
      <c r="F23" s="59">
        <v>3</v>
      </c>
      <c r="G23" s="58">
        <f t="shared" si="0"/>
        <v>0</v>
      </c>
      <c r="H23" s="57"/>
      <c r="I23" s="56">
        <f t="shared" si="1"/>
        <v>0</v>
      </c>
      <c r="BA23">
        <v>1</v>
      </c>
    </row>
    <row r="24" spans="1:53" ht="12.75">
      <c r="A24" s="63" t="s">
        <v>59</v>
      </c>
      <c r="B24" s="62"/>
      <c r="C24" s="62"/>
      <c r="D24" s="61"/>
      <c r="E24" s="60">
        <v>0</v>
      </c>
      <c r="F24" s="59">
        <v>0</v>
      </c>
      <c r="G24" s="58">
        <f t="shared" si="0"/>
        <v>0</v>
      </c>
      <c r="H24" s="57"/>
      <c r="I24" s="56">
        <f t="shared" si="1"/>
        <v>0</v>
      </c>
      <c r="BA24">
        <v>1</v>
      </c>
    </row>
    <row r="25" spans="1:53" ht="12.75">
      <c r="A25" s="63" t="s">
        <v>58</v>
      </c>
      <c r="B25" s="62"/>
      <c r="C25" s="62"/>
      <c r="D25" s="61"/>
      <c r="E25" s="60">
        <v>0</v>
      </c>
      <c r="F25" s="59">
        <v>1.2</v>
      </c>
      <c r="G25" s="58">
        <f t="shared" si="0"/>
        <v>0</v>
      </c>
      <c r="H25" s="57"/>
      <c r="I25" s="56">
        <f t="shared" si="1"/>
        <v>0</v>
      </c>
      <c r="BA25">
        <v>2</v>
      </c>
    </row>
    <row r="26" spans="1:53" ht="12.75">
      <c r="A26" s="63" t="s">
        <v>41</v>
      </c>
      <c r="B26" s="62"/>
      <c r="C26" s="62"/>
      <c r="D26" s="61"/>
      <c r="E26" s="60">
        <v>0</v>
      </c>
      <c r="F26" s="59">
        <v>0</v>
      </c>
      <c r="G26" s="58">
        <f t="shared" si="0"/>
        <v>0</v>
      </c>
      <c r="H26" s="57"/>
      <c r="I26" s="56">
        <f t="shared" si="1"/>
        <v>0</v>
      </c>
      <c r="BA26">
        <v>2</v>
      </c>
    </row>
    <row r="27" spans="1:9" ht="13.8" thickBot="1">
      <c r="A27" s="55"/>
      <c r="B27" s="54" t="s">
        <v>57</v>
      </c>
      <c r="C27" s="53"/>
      <c r="D27" s="52"/>
      <c r="E27" s="51"/>
      <c r="F27" s="50"/>
      <c r="G27" s="50"/>
      <c r="H27" s="1586">
        <f>SUM(I19:I26)</f>
        <v>0</v>
      </c>
      <c r="I27" s="1587"/>
    </row>
    <row r="29" spans="2:9" ht="12.75">
      <c r="B29" s="262"/>
      <c r="F29" s="263"/>
      <c r="G29" s="264"/>
      <c r="H29" s="264"/>
      <c r="I29" s="265"/>
    </row>
    <row r="30" spans="6:9" ht="12.75">
      <c r="F30" s="263"/>
      <c r="G30" s="264"/>
      <c r="H30" s="264"/>
      <c r="I30" s="265"/>
    </row>
    <row r="31" spans="6:9" ht="12.75">
      <c r="F31" s="263"/>
      <c r="G31" s="264"/>
      <c r="H31" s="264"/>
      <c r="I31" s="265"/>
    </row>
    <row r="32" spans="6:9" ht="12.75">
      <c r="F32" s="263"/>
      <c r="G32" s="264"/>
      <c r="H32" s="264"/>
      <c r="I32" s="265"/>
    </row>
    <row r="33" spans="6:9" ht="12.75">
      <c r="F33" s="263"/>
      <c r="G33" s="264"/>
      <c r="H33" s="264"/>
      <c r="I33" s="265"/>
    </row>
    <row r="34" spans="6:9" ht="12.75">
      <c r="F34" s="263"/>
      <c r="G34" s="264"/>
      <c r="H34" s="264"/>
      <c r="I34" s="265"/>
    </row>
    <row r="35" spans="6:9" ht="12.75">
      <c r="F35" s="263"/>
      <c r="G35" s="264"/>
      <c r="H35" s="264"/>
      <c r="I35" s="265"/>
    </row>
    <row r="36" spans="6:9" ht="12.75">
      <c r="F36" s="263"/>
      <c r="G36" s="264"/>
      <c r="H36" s="264"/>
      <c r="I36" s="265"/>
    </row>
    <row r="37" spans="6:9" ht="12.75">
      <c r="F37" s="263"/>
      <c r="G37" s="264"/>
      <c r="H37" s="264"/>
      <c r="I37" s="265"/>
    </row>
    <row r="38" spans="6:9" ht="12.75">
      <c r="F38" s="263"/>
      <c r="G38" s="264"/>
      <c r="H38" s="264"/>
      <c r="I38" s="265"/>
    </row>
    <row r="39" spans="6:9" ht="12.75">
      <c r="F39" s="263"/>
      <c r="G39" s="264"/>
      <c r="H39" s="264"/>
      <c r="I39" s="265"/>
    </row>
    <row r="40" spans="6:9" ht="12.75">
      <c r="F40" s="263"/>
      <c r="G40" s="264"/>
      <c r="H40" s="264"/>
      <c r="I40" s="265"/>
    </row>
    <row r="41" spans="6:9" ht="12.75">
      <c r="F41" s="263"/>
      <c r="G41" s="264"/>
      <c r="H41" s="264"/>
      <c r="I41" s="265"/>
    </row>
    <row r="42" spans="6:9" ht="12.75">
      <c r="F42" s="263"/>
      <c r="G42" s="264"/>
      <c r="H42" s="264"/>
      <c r="I42" s="265"/>
    </row>
    <row r="43" spans="6:9" ht="12.75">
      <c r="F43" s="263"/>
      <c r="G43" s="264"/>
      <c r="H43" s="264"/>
      <c r="I43" s="265"/>
    </row>
    <row r="44" spans="6:9" ht="12.75">
      <c r="F44" s="263"/>
      <c r="G44" s="264"/>
      <c r="H44" s="264"/>
      <c r="I44" s="265"/>
    </row>
    <row r="45" spans="6:9" ht="12.75">
      <c r="F45" s="263"/>
      <c r="G45" s="264"/>
      <c r="H45" s="264"/>
      <c r="I45" s="265"/>
    </row>
    <row r="46" spans="6:9" ht="12.75">
      <c r="F46" s="263"/>
      <c r="G46" s="264"/>
      <c r="H46" s="264"/>
      <c r="I46" s="265"/>
    </row>
    <row r="47" spans="6:9" ht="12.75">
      <c r="F47" s="263"/>
      <c r="G47" s="264"/>
      <c r="H47" s="264"/>
      <c r="I47" s="265"/>
    </row>
    <row r="48" spans="6:9" ht="12.75">
      <c r="F48" s="263"/>
      <c r="G48" s="264"/>
      <c r="H48" s="264"/>
      <c r="I48" s="265"/>
    </row>
    <row r="49" spans="6:9" ht="12.75">
      <c r="F49" s="263"/>
      <c r="G49" s="264"/>
      <c r="H49" s="264"/>
      <c r="I49" s="265"/>
    </row>
    <row r="50" spans="6:9" ht="12.75">
      <c r="F50" s="263"/>
      <c r="G50" s="264"/>
      <c r="H50" s="264"/>
      <c r="I50" s="265"/>
    </row>
    <row r="51" spans="6:9" ht="12.75">
      <c r="F51" s="263"/>
      <c r="G51" s="264"/>
      <c r="H51" s="264"/>
      <c r="I51" s="265"/>
    </row>
    <row r="52" spans="6:9" ht="12.75">
      <c r="F52" s="263"/>
      <c r="G52" s="264"/>
      <c r="H52" s="264"/>
      <c r="I52" s="265"/>
    </row>
    <row r="53" spans="6:9" ht="12.75">
      <c r="F53" s="263"/>
      <c r="G53" s="264"/>
      <c r="H53" s="264"/>
      <c r="I53" s="265"/>
    </row>
    <row r="54" spans="6:9" ht="12.75">
      <c r="F54" s="263"/>
      <c r="G54" s="264"/>
      <c r="H54" s="264"/>
      <c r="I54" s="265"/>
    </row>
    <row r="55" spans="6:9" ht="12.75">
      <c r="F55" s="263"/>
      <c r="G55" s="264"/>
      <c r="H55" s="264"/>
      <c r="I55" s="265"/>
    </row>
    <row r="56" spans="6:9" ht="12.75">
      <c r="F56" s="263"/>
      <c r="G56" s="264"/>
      <c r="H56" s="264"/>
      <c r="I56" s="265"/>
    </row>
    <row r="57" spans="6:9" ht="12.75">
      <c r="F57" s="263"/>
      <c r="G57" s="264"/>
      <c r="H57" s="264"/>
      <c r="I57" s="265"/>
    </row>
    <row r="58" spans="6:9" ht="12.75">
      <c r="F58" s="263"/>
      <c r="G58" s="264"/>
      <c r="H58" s="264"/>
      <c r="I58" s="265"/>
    </row>
    <row r="59" spans="6:9" ht="12.75">
      <c r="F59" s="263"/>
      <c r="G59" s="264"/>
      <c r="H59" s="264"/>
      <c r="I59" s="265"/>
    </row>
    <row r="60" spans="6:9" ht="12.75">
      <c r="F60" s="263"/>
      <c r="G60" s="264"/>
      <c r="H60" s="264"/>
      <c r="I60" s="265"/>
    </row>
    <row r="61" spans="6:9" ht="12.75">
      <c r="F61" s="263"/>
      <c r="G61" s="264"/>
      <c r="H61" s="264"/>
      <c r="I61" s="265"/>
    </row>
    <row r="62" spans="6:9" ht="12.75">
      <c r="F62" s="263"/>
      <c r="G62" s="264"/>
      <c r="H62" s="264"/>
      <c r="I62" s="265"/>
    </row>
    <row r="63" spans="6:9" ht="12.75">
      <c r="F63" s="263"/>
      <c r="G63" s="264"/>
      <c r="H63" s="264"/>
      <c r="I63" s="265"/>
    </row>
    <row r="64" spans="6:9" ht="12.75">
      <c r="F64" s="263"/>
      <c r="G64" s="264"/>
      <c r="H64" s="264"/>
      <c r="I64" s="265"/>
    </row>
    <row r="65" spans="6:9" ht="12.75">
      <c r="F65" s="263"/>
      <c r="G65" s="264"/>
      <c r="H65" s="264"/>
      <c r="I65" s="265"/>
    </row>
    <row r="66" spans="6:9" ht="12.75">
      <c r="F66" s="263"/>
      <c r="G66" s="264"/>
      <c r="H66" s="264"/>
      <c r="I66" s="265"/>
    </row>
    <row r="67" spans="6:9" ht="12.75">
      <c r="F67" s="263"/>
      <c r="G67" s="264"/>
      <c r="H67" s="264"/>
      <c r="I67" s="265"/>
    </row>
    <row r="68" spans="6:9" ht="12.75">
      <c r="F68" s="263"/>
      <c r="G68" s="264"/>
      <c r="H68" s="264"/>
      <c r="I68" s="265"/>
    </row>
    <row r="69" spans="6:9" ht="12.75">
      <c r="F69" s="263"/>
      <c r="G69" s="264"/>
      <c r="H69" s="264"/>
      <c r="I69" s="265"/>
    </row>
    <row r="70" spans="6:9" ht="12.75">
      <c r="F70" s="263"/>
      <c r="G70" s="264"/>
      <c r="H70" s="264"/>
      <c r="I70" s="265"/>
    </row>
    <row r="71" spans="6:9" ht="12.75">
      <c r="F71" s="263"/>
      <c r="G71" s="264"/>
      <c r="H71" s="264"/>
      <c r="I71" s="265"/>
    </row>
    <row r="72" spans="6:9" ht="12.75">
      <c r="F72" s="263"/>
      <c r="G72" s="264"/>
      <c r="H72" s="264"/>
      <c r="I72" s="265"/>
    </row>
    <row r="73" spans="6:9" ht="12.75">
      <c r="F73" s="263"/>
      <c r="G73" s="264"/>
      <c r="H73" s="264"/>
      <c r="I73" s="265"/>
    </row>
    <row r="74" spans="6:9" ht="12.75">
      <c r="F74" s="263"/>
      <c r="G74" s="264"/>
      <c r="H74" s="264"/>
      <c r="I74" s="265"/>
    </row>
    <row r="75" spans="6:9" ht="12.75">
      <c r="F75" s="263"/>
      <c r="G75" s="264"/>
      <c r="H75" s="264"/>
      <c r="I75" s="265"/>
    </row>
    <row r="76" spans="6:9" ht="12.75">
      <c r="F76" s="263"/>
      <c r="G76" s="264"/>
      <c r="H76" s="264"/>
      <c r="I76" s="265"/>
    </row>
    <row r="77" spans="6:9" ht="12.75">
      <c r="F77" s="263"/>
      <c r="G77" s="264"/>
      <c r="H77" s="264"/>
      <c r="I77" s="265"/>
    </row>
    <row r="78" spans="6:9" ht="12.75">
      <c r="F78" s="263"/>
      <c r="G78" s="264"/>
      <c r="H78" s="264"/>
      <c r="I78" s="265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Z159"/>
  <sheetViews>
    <sheetView showGridLines="0" showZeros="0" workbookViewId="0" topLeftCell="A37">
      <selection activeCell="E72" sqref="E72"/>
    </sheetView>
  </sheetViews>
  <sheetFormatPr defaultColWidth="9.125" defaultRowHeight="12.75"/>
  <cols>
    <col min="1" max="1" width="4.50390625" style="266" customWidth="1"/>
    <col min="2" max="2" width="11.50390625" style="266" customWidth="1"/>
    <col min="3" max="3" width="40.50390625" style="266" customWidth="1"/>
    <col min="4" max="4" width="5.50390625" style="266" customWidth="1"/>
    <col min="5" max="5" width="8.50390625" style="272" customWidth="1"/>
    <col min="6" max="6" width="9.875" style="266" customWidth="1"/>
    <col min="7" max="7" width="13.875" style="266" customWidth="1"/>
    <col min="8" max="11" width="9.125" style="266" customWidth="1"/>
    <col min="12" max="12" width="75.50390625" style="266" customWidth="1"/>
    <col min="13" max="13" width="45.375" style="266" customWidth="1"/>
    <col min="14" max="256" width="9.125" style="266" customWidth="1"/>
    <col min="257" max="257" width="4.50390625" style="266" customWidth="1"/>
    <col min="258" max="258" width="11.50390625" style="266" customWidth="1"/>
    <col min="259" max="259" width="40.50390625" style="266" customWidth="1"/>
    <col min="260" max="260" width="5.50390625" style="266" customWidth="1"/>
    <col min="261" max="261" width="8.50390625" style="266" customWidth="1"/>
    <col min="262" max="262" width="9.875" style="266" customWidth="1"/>
    <col min="263" max="263" width="13.875" style="266" customWidth="1"/>
    <col min="264" max="267" width="9.125" style="266" customWidth="1"/>
    <col min="268" max="268" width="75.50390625" style="266" customWidth="1"/>
    <col min="269" max="269" width="45.375" style="266" customWidth="1"/>
    <col min="270" max="512" width="9.125" style="266" customWidth="1"/>
    <col min="513" max="513" width="4.50390625" style="266" customWidth="1"/>
    <col min="514" max="514" width="11.50390625" style="266" customWidth="1"/>
    <col min="515" max="515" width="40.50390625" style="266" customWidth="1"/>
    <col min="516" max="516" width="5.50390625" style="266" customWidth="1"/>
    <col min="517" max="517" width="8.50390625" style="266" customWidth="1"/>
    <col min="518" max="518" width="9.875" style="266" customWidth="1"/>
    <col min="519" max="519" width="13.875" style="266" customWidth="1"/>
    <col min="520" max="523" width="9.125" style="266" customWidth="1"/>
    <col min="524" max="524" width="75.50390625" style="266" customWidth="1"/>
    <col min="525" max="525" width="45.375" style="266" customWidth="1"/>
    <col min="526" max="768" width="9.125" style="266" customWidth="1"/>
    <col min="769" max="769" width="4.50390625" style="266" customWidth="1"/>
    <col min="770" max="770" width="11.50390625" style="266" customWidth="1"/>
    <col min="771" max="771" width="40.50390625" style="266" customWidth="1"/>
    <col min="772" max="772" width="5.50390625" style="266" customWidth="1"/>
    <col min="773" max="773" width="8.50390625" style="266" customWidth="1"/>
    <col min="774" max="774" width="9.875" style="266" customWidth="1"/>
    <col min="775" max="775" width="13.875" style="266" customWidth="1"/>
    <col min="776" max="779" width="9.125" style="266" customWidth="1"/>
    <col min="780" max="780" width="75.50390625" style="266" customWidth="1"/>
    <col min="781" max="781" width="45.375" style="266" customWidth="1"/>
    <col min="782" max="1024" width="9.125" style="266" customWidth="1"/>
    <col min="1025" max="1025" width="4.50390625" style="266" customWidth="1"/>
    <col min="1026" max="1026" width="11.50390625" style="266" customWidth="1"/>
    <col min="1027" max="1027" width="40.50390625" style="266" customWidth="1"/>
    <col min="1028" max="1028" width="5.50390625" style="266" customWidth="1"/>
    <col min="1029" max="1029" width="8.50390625" style="266" customWidth="1"/>
    <col min="1030" max="1030" width="9.875" style="266" customWidth="1"/>
    <col min="1031" max="1031" width="13.875" style="266" customWidth="1"/>
    <col min="1032" max="1035" width="9.125" style="266" customWidth="1"/>
    <col min="1036" max="1036" width="75.50390625" style="266" customWidth="1"/>
    <col min="1037" max="1037" width="45.375" style="266" customWidth="1"/>
    <col min="1038" max="1280" width="9.125" style="266" customWidth="1"/>
    <col min="1281" max="1281" width="4.50390625" style="266" customWidth="1"/>
    <col min="1282" max="1282" width="11.50390625" style="266" customWidth="1"/>
    <col min="1283" max="1283" width="40.50390625" style="266" customWidth="1"/>
    <col min="1284" max="1284" width="5.50390625" style="266" customWidth="1"/>
    <col min="1285" max="1285" width="8.50390625" style="266" customWidth="1"/>
    <col min="1286" max="1286" width="9.875" style="266" customWidth="1"/>
    <col min="1287" max="1287" width="13.875" style="266" customWidth="1"/>
    <col min="1288" max="1291" width="9.125" style="266" customWidth="1"/>
    <col min="1292" max="1292" width="75.50390625" style="266" customWidth="1"/>
    <col min="1293" max="1293" width="45.375" style="266" customWidth="1"/>
    <col min="1294" max="1536" width="9.125" style="266" customWidth="1"/>
    <col min="1537" max="1537" width="4.50390625" style="266" customWidth="1"/>
    <col min="1538" max="1538" width="11.50390625" style="266" customWidth="1"/>
    <col min="1539" max="1539" width="40.50390625" style="266" customWidth="1"/>
    <col min="1540" max="1540" width="5.50390625" style="266" customWidth="1"/>
    <col min="1541" max="1541" width="8.50390625" style="266" customWidth="1"/>
    <col min="1542" max="1542" width="9.875" style="266" customWidth="1"/>
    <col min="1543" max="1543" width="13.875" style="266" customWidth="1"/>
    <col min="1544" max="1547" width="9.125" style="266" customWidth="1"/>
    <col min="1548" max="1548" width="75.50390625" style="266" customWidth="1"/>
    <col min="1549" max="1549" width="45.375" style="266" customWidth="1"/>
    <col min="1550" max="1792" width="9.125" style="266" customWidth="1"/>
    <col min="1793" max="1793" width="4.50390625" style="266" customWidth="1"/>
    <col min="1794" max="1794" width="11.50390625" style="266" customWidth="1"/>
    <col min="1795" max="1795" width="40.50390625" style="266" customWidth="1"/>
    <col min="1796" max="1796" width="5.50390625" style="266" customWidth="1"/>
    <col min="1797" max="1797" width="8.50390625" style="266" customWidth="1"/>
    <col min="1798" max="1798" width="9.875" style="266" customWidth="1"/>
    <col min="1799" max="1799" width="13.875" style="266" customWidth="1"/>
    <col min="1800" max="1803" width="9.125" style="266" customWidth="1"/>
    <col min="1804" max="1804" width="75.50390625" style="266" customWidth="1"/>
    <col min="1805" max="1805" width="45.375" style="266" customWidth="1"/>
    <col min="1806" max="2048" width="9.125" style="266" customWidth="1"/>
    <col min="2049" max="2049" width="4.50390625" style="266" customWidth="1"/>
    <col min="2050" max="2050" width="11.50390625" style="266" customWidth="1"/>
    <col min="2051" max="2051" width="40.50390625" style="266" customWidth="1"/>
    <col min="2052" max="2052" width="5.50390625" style="266" customWidth="1"/>
    <col min="2053" max="2053" width="8.50390625" style="266" customWidth="1"/>
    <col min="2054" max="2054" width="9.875" style="266" customWidth="1"/>
    <col min="2055" max="2055" width="13.875" style="266" customWidth="1"/>
    <col min="2056" max="2059" width="9.125" style="266" customWidth="1"/>
    <col min="2060" max="2060" width="75.50390625" style="266" customWidth="1"/>
    <col min="2061" max="2061" width="45.375" style="266" customWidth="1"/>
    <col min="2062" max="2304" width="9.125" style="266" customWidth="1"/>
    <col min="2305" max="2305" width="4.50390625" style="266" customWidth="1"/>
    <col min="2306" max="2306" width="11.50390625" style="266" customWidth="1"/>
    <col min="2307" max="2307" width="40.50390625" style="266" customWidth="1"/>
    <col min="2308" max="2308" width="5.50390625" style="266" customWidth="1"/>
    <col min="2309" max="2309" width="8.50390625" style="266" customWidth="1"/>
    <col min="2310" max="2310" width="9.875" style="266" customWidth="1"/>
    <col min="2311" max="2311" width="13.875" style="266" customWidth="1"/>
    <col min="2312" max="2315" width="9.125" style="266" customWidth="1"/>
    <col min="2316" max="2316" width="75.50390625" style="266" customWidth="1"/>
    <col min="2317" max="2317" width="45.375" style="266" customWidth="1"/>
    <col min="2318" max="2560" width="9.125" style="266" customWidth="1"/>
    <col min="2561" max="2561" width="4.50390625" style="266" customWidth="1"/>
    <col min="2562" max="2562" width="11.50390625" style="266" customWidth="1"/>
    <col min="2563" max="2563" width="40.50390625" style="266" customWidth="1"/>
    <col min="2564" max="2564" width="5.50390625" style="266" customWidth="1"/>
    <col min="2565" max="2565" width="8.50390625" style="266" customWidth="1"/>
    <col min="2566" max="2566" width="9.875" style="266" customWidth="1"/>
    <col min="2567" max="2567" width="13.875" style="266" customWidth="1"/>
    <col min="2568" max="2571" width="9.125" style="266" customWidth="1"/>
    <col min="2572" max="2572" width="75.50390625" style="266" customWidth="1"/>
    <col min="2573" max="2573" width="45.375" style="266" customWidth="1"/>
    <col min="2574" max="2816" width="9.125" style="266" customWidth="1"/>
    <col min="2817" max="2817" width="4.50390625" style="266" customWidth="1"/>
    <col min="2818" max="2818" width="11.50390625" style="266" customWidth="1"/>
    <col min="2819" max="2819" width="40.50390625" style="266" customWidth="1"/>
    <col min="2820" max="2820" width="5.50390625" style="266" customWidth="1"/>
    <col min="2821" max="2821" width="8.50390625" style="266" customWidth="1"/>
    <col min="2822" max="2822" width="9.875" style="266" customWidth="1"/>
    <col min="2823" max="2823" width="13.875" style="266" customWidth="1"/>
    <col min="2824" max="2827" width="9.125" style="266" customWidth="1"/>
    <col min="2828" max="2828" width="75.50390625" style="266" customWidth="1"/>
    <col min="2829" max="2829" width="45.375" style="266" customWidth="1"/>
    <col min="2830" max="3072" width="9.125" style="266" customWidth="1"/>
    <col min="3073" max="3073" width="4.50390625" style="266" customWidth="1"/>
    <col min="3074" max="3074" width="11.50390625" style="266" customWidth="1"/>
    <col min="3075" max="3075" width="40.50390625" style="266" customWidth="1"/>
    <col min="3076" max="3076" width="5.50390625" style="266" customWidth="1"/>
    <col min="3077" max="3077" width="8.50390625" style="266" customWidth="1"/>
    <col min="3078" max="3078" width="9.875" style="266" customWidth="1"/>
    <col min="3079" max="3079" width="13.875" style="266" customWidth="1"/>
    <col min="3080" max="3083" width="9.125" style="266" customWidth="1"/>
    <col min="3084" max="3084" width="75.50390625" style="266" customWidth="1"/>
    <col min="3085" max="3085" width="45.375" style="266" customWidth="1"/>
    <col min="3086" max="3328" width="9.125" style="266" customWidth="1"/>
    <col min="3329" max="3329" width="4.50390625" style="266" customWidth="1"/>
    <col min="3330" max="3330" width="11.50390625" style="266" customWidth="1"/>
    <col min="3331" max="3331" width="40.50390625" style="266" customWidth="1"/>
    <col min="3332" max="3332" width="5.50390625" style="266" customWidth="1"/>
    <col min="3333" max="3333" width="8.50390625" style="266" customWidth="1"/>
    <col min="3334" max="3334" width="9.875" style="266" customWidth="1"/>
    <col min="3335" max="3335" width="13.875" style="266" customWidth="1"/>
    <col min="3336" max="3339" width="9.125" style="266" customWidth="1"/>
    <col min="3340" max="3340" width="75.50390625" style="266" customWidth="1"/>
    <col min="3341" max="3341" width="45.375" style="266" customWidth="1"/>
    <col min="3342" max="3584" width="9.125" style="266" customWidth="1"/>
    <col min="3585" max="3585" width="4.50390625" style="266" customWidth="1"/>
    <col min="3586" max="3586" width="11.50390625" style="266" customWidth="1"/>
    <col min="3587" max="3587" width="40.50390625" style="266" customWidth="1"/>
    <col min="3588" max="3588" width="5.50390625" style="266" customWidth="1"/>
    <col min="3589" max="3589" width="8.50390625" style="266" customWidth="1"/>
    <col min="3590" max="3590" width="9.875" style="266" customWidth="1"/>
    <col min="3591" max="3591" width="13.875" style="266" customWidth="1"/>
    <col min="3592" max="3595" width="9.125" style="266" customWidth="1"/>
    <col min="3596" max="3596" width="75.50390625" style="266" customWidth="1"/>
    <col min="3597" max="3597" width="45.375" style="266" customWidth="1"/>
    <col min="3598" max="3840" width="9.125" style="266" customWidth="1"/>
    <col min="3841" max="3841" width="4.50390625" style="266" customWidth="1"/>
    <col min="3842" max="3842" width="11.50390625" style="266" customWidth="1"/>
    <col min="3843" max="3843" width="40.50390625" style="266" customWidth="1"/>
    <col min="3844" max="3844" width="5.50390625" style="266" customWidth="1"/>
    <col min="3845" max="3845" width="8.50390625" style="266" customWidth="1"/>
    <col min="3846" max="3846" width="9.875" style="266" customWidth="1"/>
    <col min="3847" max="3847" width="13.875" style="266" customWidth="1"/>
    <col min="3848" max="3851" width="9.125" style="266" customWidth="1"/>
    <col min="3852" max="3852" width="75.50390625" style="266" customWidth="1"/>
    <col min="3853" max="3853" width="45.375" style="266" customWidth="1"/>
    <col min="3854" max="4096" width="9.125" style="266" customWidth="1"/>
    <col min="4097" max="4097" width="4.50390625" style="266" customWidth="1"/>
    <col min="4098" max="4098" width="11.50390625" style="266" customWidth="1"/>
    <col min="4099" max="4099" width="40.50390625" style="266" customWidth="1"/>
    <col min="4100" max="4100" width="5.50390625" style="266" customWidth="1"/>
    <col min="4101" max="4101" width="8.50390625" style="266" customWidth="1"/>
    <col min="4102" max="4102" width="9.875" style="266" customWidth="1"/>
    <col min="4103" max="4103" width="13.875" style="266" customWidth="1"/>
    <col min="4104" max="4107" width="9.125" style="266" customWidth="1"/>
    <col min="4108" max="4108" width="75.50390625" style="266" customWidth="1"/>
    <col min="4109" max="4109" width="45.375" style="266" customWidth="1"/>
    <col min="4110" max="4352" width="9.125" style="266" customWidth="1"/>
    <col min="4353" max="4353" width="4.50390625" style="266" customWidth="1"/>
    <col min="4354" max="4354" width="11.50390625" style="266" customWidth="1"/>
    <col min="4355" max="4355" width="40.50390625" style="266" customWidth="1"/>
    <col min="4356" max="4356" width="5.50390625" style="266" customWidth="1"/>
    <col min="4357" max="4357" width="8.50390625" style="266" customWidth="1"/>
    <col min="4358" max="4358" width="9.875" style="266" customWidth="1"/>
    <col min="4359" max="4359" width="13.875" style="266" customWidth="1"/>
    <col min="4360" max="4363" width="9.125" style="266" customWidth="1"/>
    <col min="4364" max="4364" width="75.50390625" style="266" customWidth="1"/>
    <col min="4365" max="4365" width="45.375" style="266" customWidth="1"/>
    <col min="4366" max="4608" width="9.125" style="266" customWidth="1"/>
    <col min="4609" max="4609" width="4.50390625" style="266" customWidth="1"/>
    <col min="4610" max="4610" width="11.50390625" style="266" customWidth="1"/>
    <col min="4611" max="4611" width="40.50390625" style="266" customWidth="1"/>
    <col min="4612" max="4612" width="5.50390625" style="266" customWidth="1"/>
    <col min="4613" max="4613" width="8.50390625" style="266" customWidth="1"/>
    <col min="4614" max="4614" width="9.875" style="266" customWidth="1"/>
    <col min="4615" max="4615" width="13.875" style="266" customWidth="1"/>
    <col min="4616" max="4619" width="9.125" style="266" customWidth="1"/>
    <col min="4620" max="4620" width="75.50390625" style="266" customWidth="1"/>
    <col min="4621" max="4621" width="45.375" style="266" customWidth="1"/>
    <col min="4622" max="4864" width="9.125" style="266" customWidth="1"/>
    <col min="4865" max="4865" width="4.50390625" style="266" customWidth="1"/>
    <col min="4866" max="4866" width="11.50390625" style="266" customWidth="1"/>
    <col min="4867" max="4867" width="40.50390625" style="266" customWidth="1"/>
    <col min="4868" max="4868" width="5.50390625" style="266" customWidth="1"/>
    <col min="4869" max="4869" width="8.50390625" style="266" customWidth="1"/>
    <col min="4870" max="4870" width="9.875" style="266" customWidth="1"/>
    <col min="4871" max="4871" width="13.875" style="266" customWidth="1"/>
    <col min="4872" max="4875" width="9.125" style="266" customWidth="1"/>
    <col min="4876" max="4876" width="75.50390625" style="266" customWidth="1"/>
    <col min="4877" max="4877" width="45.375" style="266" customWidth="1"/>
    <col min="4878" max="5120" width="9.125" style="266" customWidth="1"/>
    <col min="5121" max="5121" width="4.50390625" style="266" customWidth="1"/>
    <col min="5122" max="5122" width="11.50390625" style="266" customWidth="1"/>
    <col min="5123" max="5123" width="40.50390625" style="266" customWidth="1"/>
    <col min="5124" max="5124" width="5.50390625" style="266" customWidth="1"/>
    <col min="5125" max="5125" width="8.50390625" style="266" customWidth="1"/>
    <col min="5126" max="5126" width="9.875" style="266" customWidth="1"/>
    <col min="5127" max="5127" width="13.875" style="266" customWidth="1"/>
    <col min="5128" max="5131" width="9.125" style="266" customWidth="1"/>
    <col min="5132" max="5132" width="75.50390625" style="266" customWidth="1"/>
    <col min="5133" max="5133" width="45.375" style="266" customWidth="1"/>
    <col min="5134" max="5376" width="9.125" style="266" customWidth="1"/>
    <col min="5377" max="5377" width="4.50390625" style="266" customWidth="1"/>
    <col min="5378" max="5378" width="11.50390625" style="266" customWidth="1"/>
    <col min="5379" max="5379" width="40.50390625" style="266" customWidth="1"/>
    <col min="5380" max="5380" width="5.50390625" style="266" customWidth="1"/>
    <col min="5381" max="5381" width="8.50390625" style="266" customWidth="1"/>
    <col min="5382" max="5382" width="9.875" style="266" customWidth="1"/>
    <col min="5383" max="5383" width="13.875" style="266" customWidth="1"/>
    <col min="5384" max="5387" width="9.125" style="266" customWidth="1"/>
    <col min="5388" max="5388" width="75.50390625" style="266" customWidth="1"/>
    <col min="5389" max="5389" width="45.375" style="266" customWidth="1"/>
    <col min="5390" max="5632" width="9.125" style="266" customWidth="1"/>
    <col min="5633" max="5633" width="4.50390625" style="266" customWidth="1"/>
    <col min="5634" max="5634" width="11.50390625" style="266" customWidth="1"/>
    <col min="5635" max="5635" width="40.50390625" style="266" customWidth="1"/>
    <col min="5636" max="5636" width="5.50390625" style="266" customWidth="1"/>
    <col min="5637" max="5637" width="8.50390625" style="266" customWidth="1"/>
    <col min="5638" max="5638" width="9.875" style="266" customWidth="1"/>
    <col min="5639" max="5639" width="13.875" style="266" customWidth="1"/>
    <col min="5640" max="5643" width="9.125" style="266" customWidth="1"/>
    <col min="5644" max="5644" width="75.50390625" style="266" customWidth="1"/>
    <col min="5645" max="5645" width="45.375" style="266" customWidth="1"/>
    <col min="5646" max="5888" width="9.125" style="266" customWidth="1"/>
    <col min="5889" max="5889" width="4.50390625" style="266" customWidth="1"/>
    <col min="5890" max="5890" width="11.50390625" style="266" customWidth="1"/>
    <col min="5891" max="5891" width="40.50390625" style="266" customWidth="1"/>
    <col min="5892" max="5892" width="5.50390625" style="266" customWidth="1"/>
    <col min="5893" max="5893" width="8.50390625" style="266" customWidth="1"/>
    <col min="5894" max="5894" width="9.875" style="266" customWidth="1"/>
    <col min="5895" max="5895" width="13.875" style="266" customWidth="1"/>
    <col min="5896" max="5899" width="9.125" style="266" customWidth="1"/>
    <col min="5900" max="5900" width="75.50390625" style="266" customWidth="1"/>
    <col min="5901" max="5901" width="45.375" style="266" customWidth="1"/>
    <col min="5902" max="6144" width="9.125" style="266" customWidth="1"/>
    <col min="6145" max="6145" width="4.50390625" style="266" customWidth="1"/>
    <col min="6146" max="6146" width="11.50390625" style="266" customWidth="1"/>
    <col min="6147" max="6147" width="40.50390625" style="266" customWidth="1"/>
    <col min="6148" max="6148" width="5.50390625" style="266" customWidth="1"/>
    <col min="6149" max="6149" width="8.50390625" style="266" customWidth="1"/>
    <col min="6150" max="6150" width="9.875" style="266" customWidth="1"/>
    <col min="6151" max="6151" width="13.875" style="266" customWidth="1"/>
    <col min="6152" max="6155" width="9.125" style="266" customWidth="1"/>
    <col min="6156" max="6156" width="75.50390625" style="266" customWidth="1"/>
    <col min="6157" max="6157" width="45.375" style="266" customWidth="1"/>
    <col min="6158" max="6400" width="9.125" style="266" customWidth="1"/>
    <col min="6401" max="6401" width="4.50390625" style="266" customWidth="1"/>
    <col min="6402" max="6402" width="11.50390625" style="266" customWidth="1"/>
    <col min="6403" max="6403" width="40.50390625" style="266" customWidth="1"/>
    <col min="6404" max="6404" width="5.50390625" style="266" customWidth="1"/>
    <col min="6405" max="6405" width="8.50390625" style="266" customWidth="1"/>
    <col min="6406" max="6406" width="9.875" style="266" customWidth="1"/>
    <col min="6407" max="6407" width="13.875" style="266" customWidth="1"/>
    <col min="6408" max="6411" width="9.125" style="266" customWidth="1"/>
    <col min="6412" max="6412" width="75.50390625" style="266" customWidth="1"/>
    <col min="6413" max="6413" width="45.375" style="266" customWidth="1"/>
    <col min="6414" max="6656" width="9.125" style="266" customWidth="1"/>
    <col min="6657" max="6657" width="4.50390625" style="266" customWidth="1"/>
    <col min="6658" max="6658" width="11.50390625" style="266" customWidth="1"/>
    <col min="6659" max="6659" width="40.50390625" style="266" customWidth="1"/>
    <col min="6660" max="6660" width="5.50390625" style="266" customWidth="1"/>
    <col min="6661" max="6661" width="8.50390625" style="266" customWidth="1"/>
    <col min="6662" max="6662" width="9.875" style="266" customWidth="1"/>
    <col min="6663" max="6663" width="13.875" style="266" customWidth="1"/>
    <col min="6664" max="6667" width="9.125" style="266" customWidth="1"/>
    <col min="6668" max="6668" width="75.50390625" style="266" customWidth="1"/>
    <col min="6669" max="6669" width="45.375" style="266" customWidth="1"/>
    <col min="6670" max="6912" width="9.125" style="266" customWidth="1"/>
    <col min="6913" max="6913" width="4.50390625" style="266" customWidth="1"/>
    <col min="6914" max="6914" width="11.50390625" style="266" customWidth="1"/>
    <col min="6915" max="6915" width="40.50390625" style="266" customWidth="1"/>
    <col min="6916" max="6916" width="5.50390625" style="266" customWidth="1"/>
    <col min="6917" max="6917" width="8.50390625" style="266" customWidth="1"/>
    <col min="6918" max="6918" width="9.875" style="266" customWidth="1"/>
    <col min="6919" max="6919" width="13.875" style="266" customWidth="1"/>
    <col min="6920" max="6923" width="9.125" style="266" customWidth="1"/>
    <col min="6924" max="6924" width="75.50390625" style="266" customWidth="1"/>
    <col min="6925" max="6925" width="45.375" style="266" customWidth="1"/>
    <col min="6926" max="7168" width="9.125" style="266" customWidth="1"/>
    <col min="7169" max="7169" width="4.50390625" style="266" customWidth="1"/>
    <col min="7170" max="7170" width="11.50390625" style="266" customWidth="1"/>
    <col min="7171" max="7171" width="40.50390625" style="266" customWidth="1"/>
    <col min="7172" max="7172" width="5.50390625" style="266" customWidth="1"/>
    <col min="7173" max="7173" width="8.50390625" style="266" customWidth="1"/>
    <col min="7174" max="7174" width="9.875" style="266" customWidth="1"/>
    <col min="7175" max="7175" width="13.875" style="266" customWidth="1"/>
    <col min="7176" max="7179" width="9.125" style="266" customWidth="1"/>
    <col min="7180" max="7180" width="75.50390625" style="266" customWidth="1"/>
    <col min="7181" max="7181" width="45.375" style="266" customWidth="1"/>
    <col min="7182" max="7424" width="9.125" style="266" customWidth="1"/>
    <col min="7425" max="7425" width="4.50390625" style="266" customWidth="1"/>
    <col min="7426" max="7426" width="11.50390625" style="266" customWidth="1"/>
    <col min="7427" max="7427" width="40.50390625" style="266" customWidth="1"/>
    <col min="7428" max="7428" width="5.50390625" style="266" customWidth="1"/>
    <col min="7429" max="7429" width="8.50390625" style="266" customWidth="1"/>
    <col min="7430" max="7430" width="9.875" style="266" customWidth="1"/>
    <col min="7431" max="7431" width="13.875" style="266" customWidth="1"/>
    <col min="7432" max="7435" width="9.125" style="266" customWidth="1"/>
    <col min="7436" max="7436" width="75.50390625" style="266" customWidth="1"/>
    <col min="7437" max="7437" width="45.375" style="266" customWidth="1"/>
    <col min="7438" max="7680" width="9.125" style="266" customWidth="1"/>
    <col min="7681" max="7681" width="4.50390625" style="266" customWidth="1"/>
    <col min="7682" max="7682" width="11.50390625" style="266" customWidth="1"/>
    <col min="7683" max="7683" width="40.50390625" style="266" customWidth="1"/>
    <col min="7684" max="7684" width="5.50390625" style="266" customWidth="1"/>
    <col min="7685" max="7685" width="8.50390625" style="266" customWidth="1"/>
    <col min="7686" max="7686" width="9.875" style="266" customWidth="1"/>
    <col min="7687" max="7687" width="13.875" style="266" customWidth="1"/>
    <col min="7688" max="7691" width="9.125" style="266" customWidth="1"/>
    <col min="7692" max="7692" width="75.50390625" style="266" customWidth="1"/>
    <col min="7693" max="7693" width="45.375" style="266" customWidth="1"/>
    <col min="7694" max="7936" width="9.125" style="266" customWidth="1"/>
    <col min="7937" max="7937" width="4.50390625" style="266" customWidth="1"/>
    <col min="7938" max="7938" width="11.50390625" style="266" customWidth="1"/>
    <col min="7939" max="7939" width="40.50390625" style="266" customWidth="1"/>
    <col min="7940" max="7940" width="5.50390625" style="266" customWidth="1"/>
    <col min="7941" max="7941" width="8.50390625" style="266" customWidth="1"/>
    <col min="7942" max="7942" width="9.875" style="266" customWidth="1"/>
    <col min="7943" max="7943" width="13.875" style="266" customWidth="1"/>
    <col min="7944" max="7947" width="9.125" style="266" customWidth="1"/>
    <col min="7948" max="7948" width="75.50390625" style="266" customWidth="1"/>
    <col min="7949" max="7949" width="45.375" style="266" customWidth="1"/>
    <col min="7950" max="8192" width="9.125" style="266" customWidth="1"/>
    <col min="8193" max="8193" width="4.50390625" style="266" customWidth="1"/>
    <col min="8194" max="8194" width="11.50390625" style="266" customWidth="1"/>
    <col min="8195" max="8195" width="40.50390625" style="266" customWidth="1"/>
    <col min="8196" max="8196" width="5.50390625" style="266" customWidth="1"/>
    <col min="8197" max="8197" width="8.50390625" style="266" customWidth="1"/>
    <col min="8198" max="8198" width="9.875" style="266" customWidth="1"/>
    <col min="8199" max="8199" width="13.875" style="266" customWidth="1"/>
    <col min="8200" max="8203" width="9.125" style="266" customWidth="1"/>
    <col min="8204" max="8204" width="75.50390625" style="266" customWidth="1"/>
    <col min="8205" max="8205" width="45.375" style="266" customWidth="1"/>
    <col min="8206" max="8448" width="9.125" style="266" customWidth="1"/>
    <col min="8449" max="8449" width="4.50390625" style="266" customWidth="1"/>
    <col min="8450" max="8450" width="11.50390625" style="266" customWidth="1"/>
    <col min="8451" max="8451" width="40.50390625" style="266" customWidth="1"/>
    <col min="8452" max="8452" width="5.50390625" style="266" customWidth="1"/>
    <col min="8453" max="8453" width="8.50390625" style="266" customWidth="1"/>
    <col min="8454" max="8454" width="9.875" style="266" customWidth="1"/>
    <col min="8455" max="8455" width="13.875" style="266" customWidth="1"/>
    <col min="8456" max="8459" width="9.125" style="266" customWidth="1"/>
    <col min="8460" max="8460" width="75.50390625" style="266" customWidth="1"/>
    <col min="8461" max="8461" width="45.375" style="266" customWidth="1"/>
    <col min="8462" max="8704" width="9.125" style="266" customWidth="1"/>
    <col min="8705" max="8705" width="4.50390625" style="266" customWidth="1"/>
    <col min="8706" max="8706" width="11.50390625" style="266" customWidth="1"/>
    <col min="8707" max="8707" width="40.50390625" style="266" customWidth="1"/>
    <col min="8708" max="8708" width="5.50390625" style="266" customWidth="1"/>
    <col min="8709" max="8709" width="8.50390625" style="266" customWidth="1"/>
    <col min="8710" max="8710" width="9.875" style="266" customWidth="1"/>
    <col min="8711" max="8711" width="13.875" style="266" customWidth="1"/>
    <col min="8712" max="8715" width="9.125" style="266" customWidth="1"/>
    <col min="8716" max="8716" width="75.50390625" style="266" customWidth="1"/>
    <col min="8717" max="8717" width="45.375" style="266" customWidth="1"/>
    <col min="8718" max="8960" width="9.125" style="266" customWidth="1"/>
    <col min="8961" max="8961" width="4.50390625" style="266" customWidth="1"/>
    <col min="8962" max="8962" width="11.50390625" style="266" customWidth="1"/>
    <col min="8963" max="8963" width="40.50390625" style="266" customWidth="1"/>
    <col min="8964" max="8964" width="5.50390625" style="266" customWidth="1"/>
    <col min="8965" max="8965" width="8.50390625" style="266" customWidth="1"/>
    <col min="8966" max="8966" width="9.875" style="266" customWidth="1"/>
    <col min="8967" max="8967" width="13.875" style="266" customWidth="1"/>
    <col min="8968" max="8971" width="9.125" style="266" customWidth="1"/>
    <col min="8972" max="8972" width="75.50390625" style="266" customWidth="1"/>
    <col min="8973" max="8973" width="45.375" style="266" customWidth="1"/>
    <col min="8974" max="9216" width="9.125" style="266" customWidth="1"/>
    <col min="9217" max="9217" width="4.50390625" style="266" customWidth="1"/>
    <col min="9218" max="9218" width="11.50390625" style="266" customWidth="1"/>
    <col min="9219" max="9219" width="40.50390625" style="266" customWidth="1"/>
    <col min="9220" max="9220" width="5.50390625" style="266" customWidth="1"/>
    <col min="9221" max="9221" width="8.50390625" style="266" customWidth="1"/>
    <col min="9222" max="9222" width="9.875" style="266" customWidth="1"/>
    <col min="9223" max="9223" width="13.875" style="266" customWidth="1"/>
    <col min="9224" max="9227" width="9.125" style="266" customWidth="1"/>
    <col min="9228" max="9228" width="75.50390625" style="266" customWidth="1"/>
    <col min="9229" max="9229" width="45.375" style="266" customWidth="1"/>
    <col min="9230" max="9472" width="9.125" style="266" customWidth="1"/>
    <col min="9473" max="9473" width="4.50390625" style="266" customWidth="1"/>
    <col min="9474" max="9474" width="11.50390625" style="266" customWidth="1"/>
    <col min="9475" max="9475" width="40.50390625" style="266" customWidth="1"/>
    <col min="9476" max="9476" width="5.50390625" style="266" customWidth="1"/>
    <col min="9477" max="9477" width="8.50390625" style="266" customWidth="1"/>
    <col min="9478" max="9478" width="9.875" style="266" customWidth="1"/>
    <col min="9479" max="9479" width="13.875" style="266" customWidth="1"/>
    <col min="9480" max="9483" width="9.125" style="266" customWidth="1"/>
    <col min="9484" max="9484" width="75.50390625" style="266" customWidth="1"/>
    <col min="9485" max="9485" width="45.375" style="266" customWidth="1"/>
    <col min="9486" max="9728" width="9.125" style="266" customWidth="1"/>
    <col min="9729" max="9729" width="4.50390625" style="266" customWidth="1"/>
    <col min="9730" max="9730" width="11.50390625" style="266" customWidth="1"/>
    <col min="9731" max="9731" width="40.50390625" style="266" customWidth="1"/>
    <col min="9732" max="9732" width="5.50390625" style="266" customWidth="1"/>
    <col min="9733" max="9733" width="8.50390625" style="266" customWidth="1"/>
    <col min="9734" max="9734" width="9.875" style="266" customWidth="1"/>
    <col min="9735" max="9735" width="13.875" style="266" customWidth="1"/>
    <col min="9736" max="9739" width="9.125" style="266" customWidth="1"/>
    <col min="9740" max="9740" width="75.50390625" style="266" customWidth="1"/>
    <col min="9741" max="9741" width="45.375" style="266" customWidth="1"/>
    <col min="9742" max="9984" width="9.125" style="266" customWidth="1"/>
    <col min="9985" max="9985" width="4.50390625" style="266" customWidth="1"/>
    <col min="9986" max="9986" width="11.50390625" style="266" customWidth="1"/>
    <col min="9987" max="9987" width="40.50390625" style="266" customWidth="1"/>
    <col min="9988" max="9988" width="5.50390625" style="266" customWidth="1"/>
    <col min="9989" max="9989" width="8.50390625" style="266" customWidth="1"/>
    <col min="9990" max="9990" width="9.875" style="266" customWidth="1"/>
    <col min="9991" max="9991" width="13.875" style="266" customWidth="1"/>
    <col min="9992" max="9995" width="9.125" style="266" customWidth="1"/>
    <col min="9996" max="9996" width="75.50390625" style="266" customWidth="1"/>
    <col min="9997" max="9997" width="45.375" style="266" customWidth="1"/>
    <col min="9998" max="10240" width="9.125" style="266" customWidth="1"/>
    <col min="10241" max="10241" width="4.50390625" style="266" customWidth="1"/>
    <col min="10242" max="10242" width="11.50390625" style="266" customWidth="1"/>
    <col min="10243" max="10243" width="40.50390625" style="266" customWidth="1"/>
    <col min="10244" max="10244" width="5.50390625" style="266" customWidth="1"/>
    <col min="10245" max="10245" width="8.50390625" style="266" customWidth="1"/>
    <col min="10246" max="10246" width="9.875" style="266" customWidth="1"/>
    <col min="10247" max="10247" width="13.875" style="266" customWidth="1"/>
    <col min="10248" max="10251" width="9.125" style="266" customWidth="1"/>
    <col min="10252" max="10252" width="75.50390625" style="266" customWidth="1"/>
    <col min="10253" max="10253" width="45.375" style="266" customWidth="1"/>
    <col min="10254" max="10496" width="9.125" style="266" customWidth="1"/>
    <col min="10497" max="10497" width="4.50390625" style="266" customWidth="1"/>
    <col min="10498" max="10498" width="11.50390625" style="266" customWidth="1"/>
    <col min="10499" max="10499" width="40.50390625" style="266" customWidth="1"/>
    <col min="10500" max="10500" width="5.50390625" style="266" customWidth="1"/>
    <col min="10501" max="10501" width="8.50390625" style="266" customWidth="1"/>
    <col min="10502" max="10502" width="9.875" style="266" customWidth="1"/>
    <col min="10503" max="10503" width="13.875" style="266" customWidth="1"/>
    <col min="10504" max="10507" width="9.125" style="266" customWidth="1"/>
    <col min="10508" max="10508" width="75.50390625" style="266" customWidth="1"/>
    <col min="10509" max="10509" width="45.375" style="266" customWidth="1"/>
    <col min="10510" max="10752" width="9.125" style="266" customWidth="1"/>
    <col min="10753" max="10753" width="4.50390625" style="266" customWidth="1"/>
    <col min="10754" max="10754" width="11.50390625" style="266" customWidth="1"/>
    <col min="10755" max="10755" width="40.50390625" style="266" customWidth="1"/>
    <col min="10756" max="10756" width="5.50390625" style="266" customWidth="1"/>
    <col min="10757" max="10757" width="8.50390625" style="266" customWidth="1"/>
    <col min="10758" max="10758" width="9.875" style="266" customWidth="1"/>
    <col min="10759" max="10759" width="13.875" style="266" customWidth="1"/>
    <col min="10760" max="10763" width="9.125" style="266" customWidth="1"/>
    <col min="10764" max="10764" width="75.50390625" style="266" customWidth="1"/>
    <col min="10765" max="10765" width="45.375" style="266" customWidth="1"/>
    <col min="10766" max="11008" width="9.125" style="266" customWidth="1"/>
    <col min="11009" max="11009" width="4.50390625" style="266" customWidth="1"/>
    <col min="11010" max="11010" width="11.50390625" style="266" customWidth="1"/>
    <col min="11011" max="11011" width="40.50390625" style="266" customWidth="1"/>
    <col min="11012" max="11012" width="5.50390625" style="266" customWidth="1"/>
    <col min="11013" max="11013" width="8.50390625" style="266" customWidth="1"/>
    <col min="11014" max="11014" width="9.875" style="266" customWidth="1"/>
    <col min="11015" max="11015" width="13.875" style="266" customWidth="1"/>
    <col min="11016" max="11019" width="9.125" style="266" customWidth="1"/>
    <col min="11020" max="11020" width="75.50390625" style="266" customWidth="1"/>
    <col min="11021" max="11021" width="45.375" style="266" customWidth="1"/>
    <col min="11022" max="11264" width="9.125" style="266" customWidth="1"/>
    <col min="11265" max="11265" width="4.50390625" style="266" customWidth="1"/>
    <col min="11266" max="11266" width="11.50390625" style="266" customWidth="1"/>
    <col min="11267" max="11267" width="40.50390625" style="266" customWidth="1"/>
    <col min="11268" max="11268" width="5.50390625" style="266" customWidth="1"/>
    <col min="11269" max="11269" width="8.50390625" style="266" customWidth="1"/>
    <col min="11270" max="11270" width="9.875" style="266" customWidth="1"/>
    <col min="11271" max="11271" width="13.875" style="266" customWidth="1"/>
    <col min="11272" max="11275" width="9.125" style="266" customWidth="1"/>
    <col min="11276" max="11276" width="75.50390625" style="266" customWidth="1"/>
    <col min="11277" max="11277" width="45.375" style="266" customWidth="1"/>
    <col min="11278" max="11520" width="9.125" style="266" customWidth="1"/>
    <col min="11521" max="11521" width="4.50390625" style="266" customWidth="1"/>
    <col min="11522" max="11522" width="11.50390625" style="266" customWidth="1"/>
    <col min="11523" max="11523" width="40.50390625" style="266" customWidth="1"/>
    <col min="11524" max="11524" width="5.50390625" style="266" customWidth="1"/>
    <col min="11525" max="11525" width="8.50390625" style="266" customWidth="1"/>
    <col min="11526" max="11526" width="9.875" style="266" customWidth="1"/>
    <col min="11527" max="11527" width="13.875" style="266" customWidth="1"/>
    <col min="11528" max="11531" width="9.125" style="266" customWidth="1"/>
    <col min="11532" max="11532" width="75.50390625" style="266" customWidth="1"/>
    <col min="11533" max="11533" width="45.375" style="266" customWidth="1"/>
    <col min="11534" max="11776" width="9.125" style="266" customWidth="1"/>
    <col min="11777" max="11777" width="4.50390625" style="266" customWidth="1"/>
    <col min="11778" max="11778" width="11.50390625" style="266" customWidth="1"/>
    <col min="11779" max="11779" width="40.50390625" style="266" customWidth="1"/>
    <col min="11780" max="11780" width="5.50390625" style="266" customWidth="1"/>
    <col min="11781" max="11781" width="8.50390625" style="266" customWidth="1"/>
    <col min="11782" max="11782" width="9.875" style="266" customWidth="1"/>
    <col min="11783" max="11783" width="13.875" style="266" customWidth="1"/>
    <col min="11784" max="11787" width="9.125" style="266" customWidth="1"/>
    <col min="11788" max="11788" width="75.50390625" style="266" customWidth="1"/>
    <col min="11789" max="11789" width="45.375" style="266" customWidth="1"/>
    <col min="11790" max="12032" width="9.125" style="266" customWidth="1"/>
    <col min="12033" max="12033" width="4.50390625" style="266" customWidth="1"/>
    <col min="12034" max="12034" width="11.50390625" style="266" customWidth="1"/>
    <col min="12035" max="12035" width="40.50390625" style="266" customWidth="1"/>
    <col min="12036" max="12036" width="5.50390625" style="266" customWidth="1"/>
    <col min="12037" max="12037" width="8.50390625" style="266" customWidth="1"/>
    <col min="12038" max="12038" width="9.875" style="266" customWidth="1"/>
    <col min="12039" max="12039" width="13.875" style="266" customWidth="1"/>
    <col min="12040" max="12043" width="9.125" style="266" customWidth="1"/>
    <col min="12044" max="12044" width="75.50390625" style="266" customWidth="1"/>
    <col min="12045" max="12045" width="45.375" style="266" customWidth="1"/>
    <col min="12046" max="12288" width="9.125" style="266" customWidth="1"/>
    <col min="12289" max="12289" width="4.50390625" style="266" customWidth="1"/>
    <col min="12290" max="12290" width="11.50390625" style="266" customWidth="1"/>
    <col min="12291" max="12291" width="40.50390625" style="266" customWidth="1"/>
    <col min="12292" max="12292" width="5.50390625" style="266" customWidth="1"/>
    <col min="12293" max="12293" width="8.50390625" style="266" customWidth="1"/>
    <col min="12294" max="12294" width="9.875" style="266" customWidth="1"/>
    <col min="12295" max="12295" width="13.875" style="266" customWidth="1"/>
    <col min="12296" max="12299" width="9.125" style="266" customWidth="1"/>
    <col min="12300" max="12300" width="75.50390625" style="266" customWidth="1"/>
    <col min="12301" max="12301" width="45.375" style="266" customWidth="1"/>
    <col min="12302" max="12544" width="9.125" style="266" customWidth="1"/>
    <col min="12545" max="12545" width="4.50390625" style="266" customWidth="1"/>
    <col min="12546" max="12546" width="11.50390625" style="266" customWidth="1"/>
    <col min="12547" max="12547" width="40.50390625" style="266" customWidth="1"/>
    <col min="12548" max="12548" width="5.50390625" style="266" customWidth="1"/>
    <col min="12549" max="12549" width="8.50390625" style="266" customWidth="1"/>
    <col min="12550" max="12550" width="9.875" style="266" customWidth="1"/>
    <col min="12551" max="12551" width="13.875" style="266" customWidth="1"/>
    <col min="12552" max="12555" width="9.125" style="266" customWidth="1"/>
    <col min="12556" max="12556" width="75.50390625" style="266" customWidth="1"/>
    <col min="12557" max="12557" width="45.375" style="266" customWidth="1"/>
    <col min="12558" max="12800" width="9.125" style="266" customWidth="1"/>
    <col min="12801" max="12801" width="4.50390625" style="266" customWidth="1"/>
    <col min="12802" max="12802" width="11.50390625" style="266" customWidth="1"/>
    <col min="12803" max="12803" width="40.50390625" style="266" customWidth="1"/>
    <col min="12804" max="12804" width="5.50390625" style="266" customWidth="1"/>
    <col min="12805" max="12805" width="8.50390625" style="266" customWidth="1"/>
    <col min="12806" max="12806" width="9.875" style="266" customWidth="1"/>
    <col min="12807" max="12807" width="13.875" style="266" customWidth="1"/>
    <col min="12808" max="12811" width="9.125" style="266" customWidth="1"/>
    <col min="12812" max="12812" width="75.50390625" style="266" customWidth="1"/>
    <col min="12813" max="12813" width="45.375" style="266" customWidth="1"/>
    <col min="12814" max="13056" width="9.125" style="266" customWidth="1"/>
    <col min="13057" max="13057" width="4.50390625" style="266" customWidth="1"/>
    <col min="13058" max="13058" width="11.50390625" style="266" customWidth="1"/>
    <col min="13059" max="13059" width="40.50390625" style="266" customWidth="1"/>
    <col min="13060" max="13060" width="5.50390625" style="266" customWidth="1"/>
    <col min="13061" max="13061" width="8.50390625" style="266" customWidth="1"/>
    <col min="13062" max="13062" width="9.875" style="266" customWidth="1"/>
    <col min="13063" max="13063" width="13.875" style="266" customWidth="1"/>
    <col min="13064" max="13067" width="9.125" style="266" customWidth="1"/>
    <col min="13068" max="13068" width="75.50390625" style="266" customWidth="1"/>
    <col min="13069" max="13069" width="45.375" style="266" customWidth="1"/>
    <col min="13070" max="13312" width="9.125" style="266" customWidth="1"/>
    <col min="13313" max="13313" width="4.50390625" style="266" customWidth="1"/>
    <col min="13314" max="13314" width="11.50390625" style="266" customWidth="1"/>
    <col min="13315" max="13315" width="40.50390625" style="266" customWidth="1"/>
    <col min="13316" max="13316" width="5.50390625" style="266" customWidth="1"/>
    <col min="13317" max="13317" width="8.50390625" style="266" customWidth="1"/>
    <col min="13318" max="13318" width="9.875" style="266" customWidth="1"/>
    <col min="13319" max="13319" width="13.875" style="266" customWidth="1"/>
    <col min="13320" max="13323" width="9.125" style="266" customWidth="1"/>
    <col min="13324" max="13324" width="75.50390625" style="266" customWidth="1"/>
    <col min="13325" max="13325" width="45.375" style="266" customWidth="1"/>
    <col min="13326" max="13568" width="9.125" style="266" customWidth="1"/>
    <col min="13569" max="13569" width="4.50390625" style="266" customWidth="1"/>
    <col min="13570" max="13570" width="11.50390625" style="266" customWidth="1"/>
    <col min="13571" max="13571" width="40.50390625" style="266" customWidth="1"/>
    <col min="13572" max="13572" width="5.50390625" style="266" customWidth="1"/>
    <col min="13573" max="13573" width="8.50390625" style="266" customWidth="1"/>
    <col min="13574" max="13574" width="9.875" style="266" customWidth="1"/>
    <col min="13575" max="13575" width="13.875" style="266" customWidth="1"/>
    <col min="13576" max="13579" width="9.125" style="266" customWidth="1"/>
    <col min="13580" max="13580" width="75.50390625" style="266" customWidth="1"/>
    <col min="13581" max="13581" width="45.375" style="266" customWidth="1"/>
    <col min="13582" max="13824" width="9.125" style="266" customWidth="1"/>
    <col min="13825" max="13825" width="4.50390625" style="266" customWidth="1"/>
    <col min="13826" max="13826" width="11.50390625" style="266" customWidth="1"/>
    <col min="13827" max="13827" width="40.50390625" style="266" customWidth="1"/>
    <col min="13828" max="13828" width="5.50390625" style="266" customWidth="1"/>
    <col min="13829" max="13829" width="8.50390625" style="266" customWidth="1"/>
    <col min="13830" max="13830" width="9.875" style="266" customWidth="1"/>
    <col min="13831" max="13831" width="13.875" style="266" customWidth="1"/>
    <col min="13832" max="13835" width="9.125" style="266" customWidth="1"/>
    <col min="13836" max="13836" width="75.50390625" style="266" customWidth="1"/>
    <col min="13837" max="13837" width="45.375" style="266" customWidth="1"/>
    <col min="13838" max="14080" width="9.125" style="266" customWidth="1"/>
    <col min="14081" max="14081" width="4.50390625" style="266" customWidth="1"/>
    <col min="14082" max="14082" width="11.50390625" style="266" customWidth="1"/>
    <col min="14083" max="14083" width="40.50390625" style="266" customWidth="1"/>
    <col min="14084" max="14084" width="5.50390625" style="266" customWidth="1"/>
    <col min="14085" max="14085" width="8.50390625" style="266" customWidth="1"/>
    <col min="14086" max="14086" width="9.875" style="266" customWidth="1"/>
    <col min="14087" max="14087" width="13.875" style="266" customWidth="1"/>
    <col min="14088" max="14091" width="9.125" style="266" customWidth="1"/>
    <col min="14092" max="14092" width="75.50390625" style="266" customWidth="1"/>
    <col min="14093" max="14093" width="45.375" style="266" customWidth="1"/>
    <col min="14094" max="14336" width="9.125" style="266" customWidth="1"/>
    <col min="14337" max="14337" width="4.50390625" style="266" customWidth="1"/>
    <col min="14338" max="14338" width="11.50390625" style="266" customWidth="1"/>
    <col min="14339" max="14339" width="40.50390625" style="266" customWidth="1"/>
    <col min="14340" max="14340" width="5.50390625" style="266" customWidth="1"/>
    <col min="14341" max="14341" width="8.50390625" style="266" customWidth="1"/>
    <col min="14342" max="14342" width="9.875" style="266" customWidth="1"/>
    <col min="14343" max="14343" width="13.875" style="266" customWidth="1"/>
    <col min="14344" max="14347" width="9.125" style="266" customWidth="1"/>
    <col min="14348" max="14348" width="75.50390625" style="266" customWidth="1"/>
    <col min="14349" max="14349" width="45.375" style="266" customWidth="1"/>
    <col min="14350" max="14592" width="9.125" style="266" customWidth="1"/>
    <col min="14593" max="14593" width="4.50390625" style="266" customWidth="1"/>
    <col min="14594" max="14594" width="11.50390625" style="266" customWidth="1"/>
    <col min="14595" max="14595" width="40.50390625" style="266" customWidth="1"/>
    <col min="14596" max="14596" width="5.50390625" style="266" customWidth="1"/>
    <col min="14597" max="14597" width="8.50390625" style="266" customWidth="1"/>
    <col min="14598" max="14598" width="9.875" style="266" customWidth="1"/>
    <col min="14599" max="14599" width="13.875" style="266" customWidth="1"/>
    <col min="14600" max="14603" width="9.125" style="266" customWidth="1"/>
    <col min="14604" max="14604" width="75.50390625" style="266" customWidth="1"/>
    <col min="14605" max="14605" width="45.375" style="266" customWidth="1"/>
    <col min="14606" max="14848" width="9.125" style="266" customWidth="1"/>
    <col min="14849" max="14849" width="4.50390625" style="266" customWidth="1"/>
    <col min="14850" max="14850" width="11.50390625" style="266" customWidth="1"/>
    <col min="14851" max="14851" width="40.50390625" style="266" customWidth="1"/>
    <col min="14852" max="14852" width="5.50390625" style="266" customWidth="1"/>
    <col min="14853" max="14853" width="8.50390625" style="266" customWidth="1"/>
    <col min="14854" max="14854" width="9.875" style="266" customWidth="1"/>
    <col min="14855" max="14855" width="13.875" style="266" customWidth="1"/>
    <col min="14856" max="14859" width="9.125" style="266" customWidth="1"/>
    <col min="14860" max="14860" width="75.50390625" style="266" customWidth="1"/>
    <col min="14861" max="14861" width="45.375" style="266" customWidth="1"/>
    <col min="14862" max="15104" width="9.125" style="266" customWidth="1"/>
    <col min="15105" max="15105" width="4.50390625" style="266" customWidth="1"/>
    <col min="15106" max="15106" width="11.50390625" style="266" customWidth="1"/>
    <col min="15107" max="15107" width="40.50390625" style="266" customWidth="1"/>
    <col min="15108" max="15108" width="5.50390625" style="266" customWidth="1"/>
    <col min="15109" max="15109" width="8.50390625" style="266" customWidth="1"/>
    <col min="15110" max="15110" width="9.875" style="266" customWidth="1"/>
    <col min="15111" max="15111" width="13.875" style="266" customWidth="1"/>
    <col min="15112" max="15115" width="9.125" style="266" customWidth="1"/>
    <col min="15116" max="15116" width="75.50390625" style="266" customWidth="1"/>
    <col min="15117" max="15117" width="45.375" style="266" customWidth="1"/>
    <col min="15118" max="15360" width="9.125" style="266" customWidth="1"/>
    <col min="15361" max="15361" width="4.50390625" style="266" customWidth="1"/>
    <col min="15362" max="15362" width="11.50390625" style="266" customWidth="1"/>
    <col min="15363" max="15363" width="40.50390625" style="266" customWidth="1"/>
    <col min="15364" max="15364" width="5.50390625" style="266" customWidth="1"/>
    <col min="15365" max="15365" width="8.50390625" style="266" customWidth="1"/>
    <col min="15366" max="15366" width="9.875" style="266" customWidth="1"/>
    <col min="15367" max="15367" width="13.875" style="266" customWidth="1"/>
    <col min="15368" max="15371" width="9.125" style="266" customWidth="1"/>
    <col min="15372" max="15372" width="75.50390625" style="266" customWidth="1"/>
    <col min="15373" max="15373" width="45.375" style="266" customWidth="1"/>
    <col min="15374" max="15616" width="9.125" style="266" customWidth="1"/>
    <col min="15617" max="15617" width="4.50390625" style="266" customWidth="1"/>
    <col min="15618" max="15618" width="11.50390625" style="266" customWidth="1"/>
    <col min="15619" max="15619" width="40.50390625" style="266" customWidth="1"/>
    <col min="15620" max="15620" width="5.50390625" style="266" customWidth="1"/>
    <col min="15621" max="15621" width="8.50390625" style="266" customWidth="1"/>
    <col min="15622" max="15622" width="9.875" style="266" customWidth="1"/>
    <col min="15623" max="15623" width="13.875" style="266" customWidth="1"/>
    <col min="15624" max="15627" width="9.125" style="266" customWidth="1"/>
    <col min="15628" max="15628" width="75.50390625" style="266" customWidth="1"/>
    <col min="15629" max="15629" width="45.375" style="266" customWidth="1"/>
    <col min="15630" max="15872" width="9.125" style="266" customWidth="1"/>
    <col min="15873" max="15873" width="4.50390625" style="266" customWidth="1"/>
    <col min="15874" max="15874" width="11.50390625" style="266" customWidth="1"/>
    <col min="15875" max="15875" width="40.50390625" style="266" customWidth="1"/>
    <col min="15876" max="15876" width="5.50390625" style="266" customWidth="1"/>
    <col min="15877" max="15877" width="8.50390625" style="266" customWidth="1"/>
    <col min="15878" max="15878" width="9.875" style="266" customWidth="1"/>
    <col min="15879" max="15879" width="13.875" style="266" customWidth="1"/>
    <col min="15880" max="15883" width="9.125" style="266" customWidth="1"/>
    <col min="15884" max="15884" width="75.50390625" style="266" customWidth="1"/>
    <col min="15885" max="15885" width="45.375" style="266" customWidth="1"/>
    <col min="15886" max="16128" width="9.125" style="266" customWidth="1"/>
    <col min="16129" max="16129" width="4.50390625" style="266" customWidth="1"/>
    <col min="16130" max="16130" width="11.50390625" style="266" customWidth="1"/>
    <col min="16131" max="16131" width="40.50390625" style="266" customWidth="1"/>
    <col min="16132" max="16132" width="5.50390625" style="266" customWidth="1"/>
    <col min="16133" max="16133" width="8.50390625" style="266" customWidth="1"/>
    <col min="16134" max="16134" width="9.875" style="266" customWidth="1"/>
    <col min="16135" max="16135" width="13.875" style="266" customWidth="1"/>
    <col min="16136" max="16139" width="9.125" style="266" customWidth="1"/>
    <col min="16140" max="16140" width="75.50390625" style="266" customWidth="1"/>
    <col min="16141" max="16141" width="45.375" style="266" customWidth="1"/>
    <col min="16142" max="16384" width="9.125" style="266" customWidth="1"/>
  </cols>
  <sheetData>
    <row r="1" spans="1:7" ht="15.6">
      <c r="A1" s="1590" t="s">
        <v>127</v>
      </c>
      <c r="B1" s="1590"/>
      <c r="C1" s="1590"/>
      <c r="D1" s="1590"/>
      <c r="E1" s="1590"/>
      <c r="F1" s="1590"/>
      <c r="G1" s="1590"/>
    </row>
    <row r="2" spans="1:7" ht="14.25" customHeight="1" thickBot="1">
      <c r="A2" s="190"/>
      <c r="B2" s="191"/>
      <c r="C2" s="192"/>
      <c r="D2" s="192"/>
      <c r="E2" s="193"/>
      <c r="F2" s="192"/>
      <c r="G2" s="192"/>
    </row>
    <row r="3" spans="1:7" ht="13.8" thickTop="1">
      <c r="A3" s="1579" t="s">
        <v>2</v>
      </c>
      <c r="B3" s="1580"/>
      <c r="C3" s="102" t="str">
        <f>CONCATENATE(nzuilozui," ",asdeertvaetr)</f>
        <v>2013/88 Lednice zahrady</v>
      </c>
      <c r="D3" s="194"/>
      <c r="E3" s="195" t="s">
        <v>128</v>
      </c>
      <c r="F3" s="196">
        <f>'z11aR'!H1</f>
        <v>0</v>
      </c>
      <c r="G3" s="197"/>
    </row>
    <row r="4" spans="1:7" ht="13.8" thickBot="1">
      <c r="A4" s="1591" t="s">
        <v>79</v>
      </c>
      <c r="B4" s="1582"/>
      <c r="C4" s="96" t="str">
        <f>CONCATENATE(zuiokzuikz," ",qervqertvase)</f>
        <v>11a Akumulační nádrž</v>
      </c>
      <c r="D4" s="198"/>
      <c r="E4" s="1592" t="str">
        <f>'z11aR'!G2</f>
        <v>aktual.říjen 2014  přípočty+ odpočty</v>
      </c>
      <c r="F4" s="1593"/>
      <c r="G4" s="1594"/>
    </row>
    <row r="5" spans="1:7" ht="13.8" thickTop="1">
      <c r="A5" s="199"/>
      <c r="B5" s="190"/>
      <c r="C5" s="190"/>
      <c r="D5" s="190"/>
      <c r="E5" s="200"/>
      <c r="F5" s="190"/>
      <c r="G5" s="201"/>
    </row>
    <row r="6" spans="1:7" ht="12.75">
      <c r="A6" s="202" t="s">
        <v>129</v>
      </c>
      <c r="B6" s="203" t="s">
        <v>130</v>
      </c>
      <c r="C6" s="203" t="s">
        <v>131</v>
      </c>
      <c r="D6" s="203" t="s">
        <v>132</v>
      </c>
      <c r="E6" s="204" t="s">
        <v>133</v>
      </c>
      <c r="F6" s="203" t="s">
        <v>134</v>
      </c>
      <c r="G6" s="205" t="s">
        <v>135</v>
      </c>
    </row>
    <row r="7" spans="1:15" ht="12.75">
      <c r="A7" s="207" t="s">
        <v>140</v>
      </c>
      <c r="B7" s="208" t="s">
        <v>141</v>
      </c>
      <c r="C7" s="209" t="s">
        <v>142</v>
      </c>
      <c r="D7" s="210"/>
      <c r="E7" s="211"/>
      <c r="F7" s="211"/>
      <c r="G7" s="212"/>
      <c r="H7" s="267"/>
      <c r="I7" s="267"/>
      <c r="O7" s="268">
        <v>1</v>
      </c>
    </row>
    <row r="8" spans="1:104" ht="12.75">
      <c r="A8" s="218">
        <v>1</v>
      </c>
      <c r="B8" s="219" t="s">
        <v>492</v>
      </c>
      <c r="C8" s="220" t="s">
        <v>493</v>
      </c>
      <c r="D8" s="221" t="s">
        <v>154</v>
      </c>
      <c r="E8" s="222">
        <v>0.032</v>
      </c>
      <c r="F8" s="222">
        <v>0</v>
      </c>
      <c r="G8" s="223">
        <f>E8*F8</f>
        <v>0</v>
      </c>
      <c r="O8" s="268">
        <v>2</v>
      </c>
      <c r="AA8" s="266">
        <v>1</v>
      </c>
      <c r="AB8" s="266">
        <v>1</v>
      </c>
      <c r="AC8" s="266">
        <v>1</v>
      </c>
      <c r="AZ8" s="266">
        <v>1</v>
      </c>
      <c r="BA8" s="266">
        <f>IF(AZ8=1,G8,0)</f>
        <v>0</v>
      </c>
      <c r="BB8" s="266">
        <f>IF(AZ8=2,G8,0)</f>
        <v>0</v>
      </c>
      <c r="BC8" s="266">
        <f>IF(AZ8=3,G8,0)</f>
        <v>0</v>
      </c>
      <c r="BD8" s="266">
        <f>IF(AZ8=4,G8,0)</f>
        <v>0</v>
      </c>
      <c r="BE8" s="266">
        <f>IF(AZ8=5,G8,0)</f>
        <v>0</v>
      </c>
      <c r="CA8" s="268">
        <v>1</v>
      </c>
      <c r="CB8" s="268">
        <v>1</v>
      </c>
      <c r="CZ8" s="266">
        <v>0</v>
      </c>
    </row>
    <row r="9" spans="1:15" ht="12.75">
      <c r="A9" s="226"/>
      <c r="B9" s="227"/>
      <c r="C9" s="1588" t="s">
        <v>2175</v>
      </c>
      <c r="D9" s="1589"/>
      <c r="E9" s="228">
        <v>1.152</v>
      </c>
      <c r="F9" s="229"/>
      <c r="G9" s="230"/>
      <c r="M9" s="234" t="s">
        <v>2175</v>
      </c>
      <c r="O9" s="268"/>
    </row>
    <row r="10" spans="1:15" ht="12.75">
      <c r="A10" s="226"/>
      <c r="B10" s="227"/>
      <c r="C10" s="1588" t="s">
        <v>2176</v>
      </c>
      <c r="D10" s="1589"/>
      <c r="E10" s="228">
        <v>-1.12</v>
      </c>
      <c r="F10" s="229"/>
      <c r="G10" s="230"/>
      <c r="M10" s="234" t="s">
        <v>2176</v>
      </c>
      <c r="O10" s="268"/>
    </row>
    <row r="11" spans="1:104" ht="12.75">
      <c r="A11" s="218">
        <v>2</v>
      </c>
      <c r="B11" s="219" t="s">
        <v>495</v>
      </c>
      <c r="C11" s="220" t="s">
        <v>496</v>
      </c>
      <c r="D11" s="221" t="s">
        <v>154</v>
      </c>
      <c r="E11" s="222">
        <v>0.032</v>
      </c>
      <c r="F11" s="222">
        <v>0</v>
      </c>
      <c r="G11" s="223">
        <f>E11*F11</f>
        <v>0</v>
      </c>
      <c r="O11" s="268">
        <v>2</v>
      </c>
      <c r="AA11" s="266">
        <v>1</v>
      </c>
      <c r="AB11" s="266">
        <v>1</v>
      </c>
      <c r="AC11" s="266">
        <v>1</v>
      </c>
      <c r="AZ11" s="266">
        <v>1</v>
      </c>
      <c r="BA11" s="266">
        <f>IF(AZ11=1,G11,0)</f>
        <v>0</v>
      </c>
      <c r="BB11" s="266">
        <f>IF(AZ11=2,G11,0)</f>
        <v>0</v>
      </c>
      <c r="BC11" s="266">
        <f>IF(AZ11=3,G11,0)</f>
        <v>0</v>
      </c>
      <c r="BD11" s="266">
        <f>IF(AZ11=4,G11,0)</f>
        <v>0</v>
      </c>
      <c r="BE11" s="266">
        <f>IF(AZ11=5,G11,0)</f>
        <v>0</v>
      </c>
      <c r="CA11" s="268">
        <v>1</v>
      </c>
      <c r="CB11" s="268">
        <v>1</v>
      </c>
      <c r="CZ11" s="266">
        <v>0</v>
      </c>
    </row>
    <row r="12" spans="1:57" ht="12.75">
      <c r="A12" s="236"/>
      <c r="B12" s="237" t="s">
        <v>175</v>
      </c>
      <c r="C12" s="238" t="str">
        <f>CONCATENATE(B7," ",C7)</f>
        <v>1 Zemní práce</v>
      </c>
      <c r="D12" s="239"/>
      <c r="E12" s="240"/>
      <c r="F12" s="241"/>
      <c r="G12" s="242">
        <f>SUM(G7:G11)</f>
        <v>0</v>
      </c>
      <c r="O12" s="268">
        <v>4</v>
      </c>
      <c r="BA12" s="269">
        <f>SUM(BA7:BA11)</f>
        <v>0</v>
      </c>
      <c r="BB12" s="269">
        <f>SUM(BB7:BB11)</f>
        <v>0</v>
      </c>
      <c r="BC12" s="269">
        <f>SUM(BC7:BC11)</f>
        <v>0</v>
      </c>
      <c r="BD12" s="269">
        <f>SUM(BD7:BD11)</f>
        <v>0</v>
      </c>
      <c r="BE12" s="269">
        <f>SUM(BE7:BE11)</f>
        <v>0</v>
      </c>
    </row>
    <row r="13" spans="1:15" ht="12.75">
      <c r="A13" s="207" t="s">
        <v>140</v>
      </c>
      <c r="B13" s="208" t="s">
        <v>183</v>
      </c>
      <c r="C13" s="209" t="s">
        <v>184</v>
      </c>
      <c r="D13" s="210"/>
      <c r="E13" s="211"/>
      <c r="F13" s="211"/>
      <c r="G13" s="212"/>
      <c r="H13" s="267"/>
      <c r="I13" s="267"/>
      <c r="O13" s="268">
        <v>1</v>
      </c>
    </row>
    <row r="14" spans="1:104" ht="12.75">
      <c r="A14" s="218">
        <v>3</v>
      </c>
      <c r="B14" s="219" t="s">
        <v>541</v>
      </c>
      <c r="C14" s="220" t="s">
        <v>542</v>
      </c>
      <c r="D14" s="221" t="s">
        <v>154</v>
      </c>
      <c r="E14" s="222">
        <v>0.16</v>
      </c>
      <c r="F14" s="222">
        <v>0</v>
      </c>
      <c r="G14" s="223">
        <f>E14*F14</f>
        <v>0</v>
      </c>
      <c r="O14" s="268">
        <v>2</v>
      </c>
      <c r="AA14" s="266">
        <v>1</v>
      </c>
      <c r="AB14" s="266">
        <v>1</v>
      </c>
      <c r="AC14" s="266">
        <v>1</v>
      </c>
      <c r="AZ14" s="266">
        <v>1</v>
      </c>
      <c r="BA14" s="266">
        <f>IF(AZ14=1,G14,0)</f>
        <v>0</v>
      </c>
      <c r="BB14" s="266">
        <f>IF(AZ14=2,G14,0)</f>
        <v>0</v>
      </c>
      <c r="BC14" s="266">
        <f>IF(AZ14=3,G14,0)</f>
        <v>0</v>
      </c>
      <c r="BD14" s="266">
        <f>IF(AZ14=4,G14,0)</f>
        <v>0</v>
      </c>
      <c r="BE14" s="266">
        <f>IF(AZ14=5,G14,0)</f>
        <v>0</v>
      </c>
      <c r="CA14" s="268">
        <v>1</v>
      </c>
      <c r="CB14" s="268">
        <v>1</v>
      </c>
      <c r="CZ14" s="266">
        <v>2.525</v>
      </c>
    </row>
    <row r="15" spans="1:15" ht="12.75">
      <c r="A15" s="226"/>
      <c r="B15" s="227"/>
      <c r="C15" s="1588" t="s">
        <v>2177</v>
      </c>
      <c r="D15" s="1589"/>
      <c r="E15" s="228">
        <v>0.576</v>
      </c>
      <c r="F15" s="229"/>
      <c r="G15" s="230"/>
      <c r="M15" s="234" t="s">
        <v>2177</v>
      </c>
      <c r="O15" s="268"/>
    </row>
    <row r="16" spans="1:15" ht="12.75">
      <c r="A16" s="226"/>
      <c r="B16" s="227"/>
      <c r="C16" s="1588" t="s">
        <v>2178</v>
      </c>
      <c r="D16" s="1589"/>
      <c r="E16" s="228">
        <v>0.704</v>
      </c>
      <c r="F16" s="229"/>
      <c r="G16" s="230"/>
      <c r="M16" s="234" t="s">
        <v>2178</v>
      </c>
      <c r="O16" s="268"/>
    </row>
    <row r="17" spans="1:15" ht="12.75">
      <c r="A17" s="226"/>
      <c r="B17" s="227"/>
      <c r="C17" s="1588" t="s">
        <v>2176</v>
      </c>
      <c r="D17" s="1589"/>
      <c r="E17" s="228">
        <v>-1.12</v>
      </c>
      <c r="F17" s="229"/>
      <c r="G17" s="230"/>
      <c r="M17" s="234" t="s">
        <v>2176</v>
      </c>
      <c r="O17" s="268"/>
    </row>
    <row r="18" spans="1:104" ht="20.4">
      <c r="A18" s="218">
        <v>4</v>
      </c>
      <c r="B18" s="219" t="s">
        <v>2179</v>
      </c>
      <c r="C18" s="220" t="s">
        <v>2180</v>
      </c>
      <c r="D18" s="221" t="s">
        <v>145</v>
      </c>
      <c r="E18" s="222">
        <v>1.2</v>
      </c>
      <c r="F18" s="222">
        <v>0</v>
      </c>
      <c r="G18" s="223">
        <f>E18*F18</f>
        <v>0</v>
      </c>
      <c r="O18" s="268">
        <v>2</v>
      </c>
      <c r="AA18" s="266">
        <v>1</v>
      </c>
      <c r="AB18" s="266">
        <v>1</v>
      </c>
      <c r="AC18" s="266">
        <v>1</v>
      </c>
      <c r="AZ18" s="266">
        <v>1</v>
      </c>
      <c r="BA18" s="266">
        <f>IF(AZ18=1,G18,0)</f>
        <v>0</v>
      </c>
      <c r="BB18" s="266">
        <f>IF(AZ18=2,G18,0)</f>
        <v>0</v>
      </c>
      <c r="BC18" s="266">
        <f>IF(AZ18=3,G18,0)</f>
        <v>0</v>
      </c>
      <c r="BD18" s="266">
        <f>IF(AZ18=4,G18,0)</f>
        <v>0</v>
      </c>
      <c r="BE18" s="266">
        <f>IF(AZ18=5,G18,0)</f>
        <v>0</v>
      </c>
      <c r="CA18" s="268">
        <v>1</v>
      </c>
      <c r="CB18" s="268">
        <v>1</v>
      </c>
      <c r="CZ18" s="266">
        <v>0.0364</v>
      </c>
    </row>
    <row r="19" spans="1:15" ht="12.75">
      <c r="A19" s="226"/>
      <c r="B19" s="227"/>
      <c r="C19" s="1588" t="s">
        <v>2181</v>
      </c>
      <c r="D19" s="1589"/>
      <c r="E19" s="228">
        <v>1.2</v>
      </c>
      <c r="F19" s="229"/>
      <c r="G19" s="230"/>
      <c r="M19" s="234" t="s">
        <v>2181</v>
      </c>
      <c r="O19" s="268"/>
    </row>
    <row r="20" spans="1:104" ht="12.75">
      <c r="A20" s="218">
        <v>5</v>
      </c>
      <c r="B20" s="219" t="s">
        <v>2182</v>
      </c>
      <c r="C20" s="220" t="s">
        <v>2183</v>
      </c>
      <c r="D20" s="221" t="s">
        <v>145</v>
      </c>
      <c r="E20" s="222">
        <v>1.2</v>
      </c>
      <c r="F20" s="222">
        <v>0</v>
      </c>
      <c r="G20" s="223">
        <f>E20*F20</f>
        <v>0</v>
      </c>
      <c r="O20" s="268">
        <v>2</v>
      </c>
      <c r="AA20" s="266">
        <v>1</v>
      </c>
      <c r="AB20" s="266">
        <v>1</v>
      </c>
      <c r="AC20" s="266">
        <v>1</v>
      </c>
      <c r="AZ20" s="266">
        <v>1</v>
      </c>
      <c r="BA20" s="266">
        <f>IF(AZ20=1,G20,0)</f>
        <v>0</v>
      </c>
      <c r="BB20" s="266">
        <f>IF(AZ20=2,G20,0)</f>
        <v>0</v>
      </c>
      <c r="BC20" s="266">
        <f>IF(AZ20=3,G20,0)</f>
        <v>0</v>
      </c>
      <c r="BD20" s="266">
        <f>IF(AZ20=4,G20,0)</f>
        <v>0</v>
      </c>
      <c r="BE20" s="266">
        <f>IF(AZ20=5,G20,0)</f>
        <v>0</v>
      </c>
      <c r="CA20" s="268">
        <v>1</v>
      </c>
      <c r="CB20" s="268">
        <v>1</v>
      </c>
      <c r="CZ20" s="266">
        <v>0</v>
      </c>
    </row>
    <row r="21" spans="1:57" ht="12.75">
      <c r="A21" s="236"/>
      <c r="B21" s="237" t="s">
        <v>175</v>
      </c>
      <c r="C21" s="238" t="str">
        <f>CONCATENATE(B13," ",C13)</f>
        <v>2 Základy a zvláštní zakládání</v>
      </c>
      <c r="D21" s="239"/>
      <c r="E21" s="240"/>
      <c r="F21" s="241"/>
      <c r="G21" s="242">
        <f>SUM(G13:G20)</f>
        <v>0</v>
      </c>
      <c r="O21" s="268">
        <v>4</v>
      </c>
      <c r="BA21" s="269">
        <f>SUM(BA13:BA20)</f>
        <v>0</v>
      </c>
      <c r="BB21" s="269">
        <f>SUM(BB13:BB20)</f>
        <v>0</v>
      </c>
      <c r="BC21" s="269">
        <f>SUM(BC13:BC20)</f>
        <v>0</v>
      </c>
      <c r="BD21" s="269">
        <f>SUM(BD13:BD20)</f>
        <v>0</v>
      </c>
      <c r="BE21" s="269">
        <f>SUM(BE13:BE20)</f>
        <v>0</v>
      </c>
    </row>
    <row r="22" spans="1:15" ht="12.75">
      <c r="A22" s="207" t="s">
        <v>140</v>
      </c>
      <c r="B22" s="208" t="s">
        <v>213</v>
      </c>
      <c r="C22" s="209" t="s">
        <v>214</v>
      </c>
      <c r="D22" s="210"/>
      <c r="E22" s="211"/>
      <c r="F22" s="211"/>
      <c r="G22" s="212"/>
      <c r="H22" s="267"/>
      <c r="I22" s="267"/>
      <c r="O22" s="268">
        <v>1</v>
      </c>
    </row>
    <row r="23" spans="1:104" ht="12.75">
      <c r="A23" s="218">
        <v>6</v>
      </c>
      <c r="B23" s="219" t="s">
        <v>215</v>
      </c>
      <c r="C23" s="220" t="s">
        <v>216</v>
      </c>
      <c r="D23" s="221" t="s">
        <v>154</v>
      </c>
      <c r="E23" s="222">
        <v>-2.0501</v>
      </c>
      <c r="F23" s="222">
        <v>0</v>
      </c>
      <c r="G23" s="223">
        <f>E23*F23</f>
        <v>0</v>
      </c>
      <c r="O23" s="268">
        <v>2</v>
      </c>
      <c r="AA23" s="266">
        <v>1</v>
      </c>
      <c r="AB23" s="266">
        <v>1</v>
      </c>
      <c r="AC23" s="266">
        <v>1</v>
      </c>
      <c r="AZ23" s="266">
        <v>1</v>
      </c>
      <c r="BA23" s="266">
        <f>IF(AZ23=1,G23,0)</f>
        <v>0</v>
      </c>
      <c r="BB23" s="266">
        <f>IF(AZ23=2,G23,0)</f>
        <v>0</v>
      </c>
      <c r="BC23" s="266">
        <f>IF(AZ23=3,G23,0)</f>
        <v>0</v>
      </c>
      <c r="BD23" s="266">
        <f>IF(AZ23=4,G23,0)</f>
        <v>0</v>
      </c>
      <c r="BE23" s="266">
        <f>IF(AZ23=5,G23,0)</f>
        <v>0</v>
      </c>
      <c r="CA23" s="268">
        <v>1</v>
      </c>
      <c r="CB23" s="268">
        <v>1</v>
      </c>
      <c r="CZ23" s="266">
        <v>0</v>
      </c>
    </row>
    <row r="24" spans="1:15" ht="12.75">
      <c r="A24" s="226"/>
      <c r="B24" s="227"/>
      <c r="C24" s="1588" t="s">
        <v>2184</v>
      </c>
      <c r="D24" s="1589"/>
      <c r="E24" s="228">
        <v>1.4159</v>
      </c>
      <c r="F24" s="229"/>
      <c r="G24" s="230"/>
      <c r="M24" s="234" t="s">
        <v>2184</v>
      </c>
      <c r="O24" s="268"/>
    </row>
    <row r="25" spans="1:15" ht="12.75">
      <c r="A25" s="226"/>
      <c r="B25" s="227"/>
      <c r="C25" s="1588" t="s">
        <v>2185</v>
      </c>
      <c r="D25" s="1589"/>
      <c r="E25" s="228">
        <v>0.324</v>
      </c>
      <c r="F25" s="229"/>
      <c r="G25" s="230"/>
      <c r="M25" s="234" t="s">
        <v>2185</v>
      </c>
      <c r="O25" s="268"/>
    </row>
    <row r="26" spans="1:15" ht="12.75">
      <c r="A26" s="226"/>
      <c r="B26" s="227"/>
      <c r="C26" s="1588" t="s">
        <v>2186</v>
      </c>
      <c r="D26" s="1589"/>
      <c r="E26" s="228">
        <v>-3.79</v>
      </c>
      <c r="F26" s="229"/>
      <c r="G26" s="230"/>
      <c r="M26" s="234" t="s">
        <v>2186</v>
      </c>
      <c r="O26" s="268"/>
    </row>
    <row r="27" spans="1:104" ht="12.75">
      <c r="A27" s="218">
        <v>7</v>
      </c>
      <c r="B27" s="219" t="s">
        <v>2113</v>
      </c>
      <c r="C27" s="220" t="s">
        <v>2114</v>
      </c>
      <c r="D27" s="221" t="s">
        <v>154</v>
      </c>
      <c r="E27" s="222">
        <v>-0.0791</v>
      </c>
      <c r="F27" s="222">
        <v>0</v>
      </c>
      <c r="G27" s="223">
        <f>E27*F27</f>
        <v>0</v>
      </c>
      <c r="O27" s="268">
        <v>2</v>
      </c>
      <c r="AA27" s="266">
        <v>1</v>
      </c>
      <c r="AB27" s="266">
        <v>1</v>
      </c>
      <c r="AC27" s="266">
        <v>1</v>
      </c>
      <c r="AZ27" s="266">
        <v>1</v>
      </c>
      <c r="BA27" s="266">
        <f>IF(AZ27=1,G27,0)</f>
        <v>0</v>
      </c>
      <c r="BB27" s="266">
        <f>IF(AZ27=2,G27,0)</f>
        <v>0</v>
      </c>
      <c r="BC27" s="266">
        <f>IF(AZ27=3,G27,0)</f>
        <v>0</v>
      </c>
      <c r="BD27" s="266">
        <f>IF(AZ27=4,G27,0)</f>
        <v>0</v>
      </c>
      <c r="BE27" s="266">
        <f>IF(AZ27=5,G27,0)</f>
        <v>0</v>
      </c>
      <c r="CA27" s="268">
        <v>1</v>
      </c>
      <c r="CB27" s="268">
        <v>1</v>
      </c>
      <c r="CZ27" s="266">
        <v>0.00147</v>
      </c>
    </row>
    <row r="28" spans="1:15" ht="12.75">
      <c r="A28" s="226"/>
      <c r="B28" s="227"/>
      <c r="C28" s="1588" t="s">
        <v>2187</v>
      </c>
      <c r="D28" s="1589"/>
      <c r="E28" s="228">
        <v>0.2109</v>
      </c>
      <c r="F28" s="229"/>
      <c r="G28" s="230"/>
      <c r="M28" s="234" t="s">
        <v>2187</v>
      </c>
      <c r="O28" s="268"/>
    </row>
    <row r="29" spans="1:15" ht="12.75">
      <c r="A29" s="226"/>
      <c r="B29" s="227"/>
      <c r="C29" s="1588" t="s">
        <v>2188</v>
      </c>
      <c r="D29" s="1589"/>
      <c r="E29" s="228">
        <v>-0.29</v>
      </c>
      <c r="F29" s="229"/>
      <c r="G29" s="230"/>
      <c r="M29" s="234" t="s">
        <v>2188</v>
      </c>
      <c r="O29" s="268"/>
    </row>
    <row r="30" spans="1:57" ht="12.75">
      <c r="A30" s="236"/>
      <c r="B30" s="237" t="s">
        <v>175</v>
      </c>
      <c r="C30" s="238" t="str">
        <f>CONCATENATE(B22," ",C22)</f>
        <v>96 Bourání konstrukcí</v>
      </c>
      <c r="D30" s="239"/>
      <c r="E30" s="240"/>
      <c r="F30" s="241"/>
      <c r="G30" s="242">
        <f>SUM(G22:G29)</f>
        <v>0</v>
      </c>
      <c r="O30" s="268">
        <v>4</v>
      </c>
      <c r="BA30" s="269">
        <f>SUM(BA22:BA29)</f>
        <v>0</v>
      </c>
      <c r="BB30" s="269">
        <f>SUM(BB22:BB29)</f>
        <v>0</v>
      </c>
      <c r="BC30" s="269">
        <f>SUM(BC22:BC29)</f>
        <v>0</v>
      </c>
      <c r="BD30" s="269">
        <f>SUM(BD22:BD29)</f>
        <v>0</v>
      </c>
      <c r="BE30" s="269">
        <f>SUM(BE22:BE29)</f>
        <v>0</v>
      </c>
    </row>
    <row r="31" spans="1:15" ht="12.75">
      <c r="A31" s="207" t="s">
        <v>140</v>
      </c>
      <c r="B31" s="208" t="s">
        <v>234</v>
      </c>
      <c r="C31" s="209" t="s">
        <v>235</v>
      </c>
      <c r="D31" s="210"/>
      <c r="E31" s="211"/>
      <c r="F31" s="211"/>
      <c r="G31" s="212"/>
      <c r="H31" s="267"/>
      <c r="I31" s="267"/>
      <c r="O31" s="268">
        <v>1</v>
      </c>
    </row>
    <row r="32" spans="1:104" ht="12.75">
      <c r="A32" s="218">
        <v>8</v>
      </c>
      <c r="B32" s="219" t="s">
        <v>2122</v>
      </c>
      <c r="C32" s="220" t="s">
        <v>2123</v>
      </c>
      <c r="D32" s="221" t="s">
        <v>166</v>
      </c>
      <c r="E32" s="222">
        <v>0.447563723</v>
      </c>
      <c r="F32" s="222">
        <v>0</v>
      </c>
      <c r="G32" s="223">
        <f>E32*F32</f>
        <v>0</v>
      </c>
      <c r="O32" s="268">
        <v>2</v>
      </c>
      <c r="AA32" s="266">
        <v>7</v>
      </c>
      <c r="AB32" s="266">
        <v>1</v>
      </c>
      <c r="AC32" s="266">
        <v>2</v>
      </c>
      <c r="AZ32" s="266">
        <v>1</v>
      </c>
      <c r="BA32" s="266">
        <f>IF(AZ32=1,G32,0)</f>
        <v>0</v>
      </c>
      <c r="BB32" s="266">
        <f>IF(AZ32=2,G32,0)</f>
        <v>0</v>
      </c>
      <c r="BC32" s="266">
        <f>IF(AZ32=3,G32,0)</f>
        <v>0</v>
      </c>
      <c r="BD32" s="266">
        <f>IF(AZ32=4,G32,0)</f>
        <v>0</v>
      </c>
      <c r="BE32" s="266">
        <f>IF(AZ32=5,G32,0)</f>
        <v>0</v>
      </c>
      <c r="CA32" s="268">
        <v>7</v>
      </c>
      <c r="CB32" s="268">
        <v>1</v>
      </c>
      <c r="CZ32" s="266">
        <v>0</v>
      </c>
    </row>
    <row r="33" spans="1:57" ht="12.75">
      <c r="A33" s="236"/>
      <c r="B33" s="237" t="s">
        <v>175</v>
      </c>
      <c r="C33" s="238" t="str">
        <f>CONCATENATE(B31," ",C31)</f>
        <v>99 Staveništní přesun hmot</v>
      </c>
      <c r="D33" s="239"/>
      <c r="E33" s="240"/>
      <c r="F33" s="241"/>
      <c r="G33" s="242">
        <f>SUM(G31:G32)</f>
        <v>0</v>
      </c>
      <c r="O33" s="268">
        <v>4</v>
      </c>
      <c r="BA33" s="269">
        <f>SUM(BA31:BA32)</f>
        <v>0</v>
      </c>
      <c r="BB33" s="269">
        <f>SUM(BB31:BB32)</f>
        <v>0</v>
      </c>
      <c r="BC33" s="269">
        <f>SUM(BC31:BC32)</f>
        <v>0</v>
      </c>
      <c r="BD33" s="269">
        <f>SUM(BD31:BD32)</f>
        <v>0</v>
      </c>
      <c r="BE33" s="269">
        <f>SUM(BE31:BE32)</f>
        <v>0</v>
      </c>
    </row>
    <row r="34" spans="1:15" ht="12.75">
      <c r="A34" s="207" t="s">
        <v>140</v>
      </c>
      <c r="B34" s="208" t="s">
        <v>255</v>
      </c>
      <c r="C34" s="209" t="s">
        <v>256</v>
      </c>
      <c r="D34" s="210"/>
      <c r="E34" s="211"/>
      <c r="F34" s="211"/>
      <c r="G34" s="212"/>
      <c r="H34" s="267"/>
      <c r="I34" s="267"/>
      <c r="O34" s="268">
        <v>1</v>
      </c>
    </row>
    <row r="35" spans="1:104" ht="12.75">
      <c r="A35" s="218">
        <v>9</v>
      </c>
      <c r="B35" s="219" t="s">
        <v>2133</v>
      </c>
      <c r="C35" s="220" t="s">
        <v>2134</v>
      </c>
      <c r="D35" s="221" t="s">
        <v>259</v>
      </c>
      <c r="E35" s="222">
        <v>-200</v>
      </c>
      <c r="F35" s="222">
        <v>0</v>
      </c>
      <c r="G35" s="223">
        <f>E35*F35</f>
        <v>0</v>
      </c>
      <c r="O35" s="268">
        <v>2</v>
      </c>
      <c r="AA35" s="266">
        <v>1</v>
      </c>
      <c r="AB35" s="266">
        <v>7</v>
      </c>
      <c r="AC35" s="266">
        <v>7</v>
      </c>
      <c r="AZ35" s="266">
        <v>2</v>
      </c>
      <c r="BA35" s="266">
        <f>IF(AZ35=1,G35,0)</f>
        <v>0</v>
      </c>
      <c r="BB35" s="266">
        <f>IF(AZ35=2,G35,0)</f>
        <v>0</v>
      </c>
      <c r="BC35" s="266">
        <f>IF(AZ35=3,G35,0)</f>
        <v>0</v>
      </c>
      <c r="BD35" s="266">
        <f>IF(AZ35=4,G35,0)</f>
        <v>0</v>
      </c>
      <c r="BE35" s="266">
        <f>IF(AZ35=5,G35,0)</f>
        <v>0</v>
      </c>
      <c r="CA35" s="268">
        <v>1</v>
      </c>
      <c r="CB35" s="268">
        <v>7</v>
      </c>
      <c r="CZ35" s="266">
        <v>0</v>
      </c>
    </row>
    <row r="36" spans="1:15" ht="12.75">
      <c r="A36" s="226"/>
      <c r="B36" s="227"/>
      <c r="C36" s="1588" t="s">
        <v>2189</v>
      </c>
      <c r="D36" s="1589"/>
      <c r="E36" s="228">
        <v>-200</v>
      </c>
      <c r="F36" s="229"/>
      <c r="G36" s="230"/>
      <c r="M36" s="234" t="s">
        <v>2189</v>
      </c>
      <c r="O36" s="268"/>
    </row>
    <row r="37" spans="1:104" ht="12.75">
      <c r="A37" s="218">
        <v>10</v>
      </c>
      <c r="B37" s="219" t="s">
        <v>2190</v>
      </c>
      <c r="C37" s="220" t="s">
        <v>2191</v>
      </c>
      <c r="D37" s="221" t="s">
        <v>259</v>
      </c>
      <c r="E37" s="222">
        <v>370.65</v>
      </c>
      <c r="F37" s="222">
        <v>0</v>
      </c>
      <c r="G37" s="223">
        <f>E37*F37</f>
        <v>0</v>
      </c>
      <c r="O37" s="268">
        <v>2</v>
      </c>
      <c r="AA37" s="266">
        <v>1</v>
      </c>
      <c r="AB37" s="266">
        <v>7</v>
      </c>
      <c r="AC37" s="266">
        <v>7</v>
      </c>
      <c r="AZ37" s="266">
        <v>2</v>
      </c>
      <c r="BA37" s="266">
        <f>IF(AZ37=1,G37,0)</f>
        <v>0</v>
      </c>
      <c r="BB37" s="266">
        <f>IF(AZ37=2,G37,0)</f>
        <v>0</v>
      </c>
      <c r="BC37" s="266">
        <f>IF(AZ37=3,G37,0)</f>
        <v>0</v>
      </c>
      <c r="BD37" s="266">
        <f>IF(AZ37=4,G37,0)</f>
        <v>0</v>
      </c>
      <c r="BE37" s="266">
        <f>IF(AZ37=5,G37,0)</f>
        <v>0</v>
      </c>
      <c r="CA37" s="268">
        <v>1</v>
      </c>
      <c r="CB37" s="268">
        <v>7</v>
      </c>
      <c r="CZ37" s="266">
        <v>6E-05</v>
      </c>
    </row>
    <row r="38" spans="1:104" ht="12.75">
      <c r="A38" s="218">
        <v>11</v>
      </c>
      <c r="B38" s="219" t="s">
        <v>2192</v>
      </c>
      <c r="C38" s="220" t="s">
        <v>2193</v>
      </c>
      <c r="D38" s="221" t="s">
        <v>166</v>
      </c>
      <c r="E38" s="222">
        <v>0.0535</v>
      </c>
      <c r="F38" s="222">
        <v>0</v>
      </c>
      <c r="G38" s="223">
        <f>E38*F38</f>
        <v>0</v>
      </c>
      <c r="O38" s="268">
        <v>2</v>
      </c>
      <c r="AA38" s="266">
        <v>3</v>
      </c>
      <c r="AB38" s="266">
        <v>7</v>
      </c>
      <c r="AC38" s="266">
        <v>13318055</v>
      </c>
      <c r="AZ38" s="266">
        <v>2</v>
      </c>
      <c r="BA38" s="266">
        <f>IF(AZ38=1,G38,0)</f>
        <v>0</v>
      </c>
      <c r="BB38" s="266">
        <f>IF(AZ38=2,G38,0)</f>
        <v>0</v>
      </c>
      <c r="BC38" s="266">
        <f>IF(AZ38=3,G38,0)</f>
        <v>0</v>
      </c>
      <c r="BD38" s="266">
        <f>IF(AZ38=4,G38,0)</f>
        <v>0</v>
      </c>
      <c r="BE38" s="266">
        <f>IF(AZ38=5,G38,0)</f>
        <v>0</v>
      </c>
      <c r="CA38" s="268">
        <v>3</v>
      </c>
      <c r="CB38" s="268">
        <v>7</v>
      </c>
      <c r="CZ38" s="266">
        <v>1</v>
      </c>
    </row>
    <row r="39" spans="1:15" ht="12.75">
      <c r="A39" s="226"/>
      <c r="B39" s="227"/>
      <c r="C39" s="1588" t="s">
        <v>2194</v>
      </c>
      <c r="D39" s="1589"/>
      <c r="E39" s="228">
        <v>0.0535</v>
      </c>
      <c r="F39" s="229"/>
      <c r="G39" s="230"/>
      <c r="M39" s="234" t="s">
        <v>2194</v>
      </c>
      <c r="O39" s="268"/>
    </row>
    <row r="40" spans="1:104" ht="12.75">
      <c r="A40" s="218">
        <v>12</v>
      </c>
      <c r="B40" s="219" t="s">
        <v>2195</v>
      </c>
      <c r="C40" s="220" t="s">
        <v>2196</v>
      </c>
      <c r="D40" s="221" t="s">
        <v>915</v>
      </c>
      <c r="E40" s="222">
        <v>0.0441</v>
      </c>
      <c r="F40" s="222">
        <v>0</v>
      </c>
      <c r="G40" s="223">
        <f>E40*F40</f>
        <v>0</v>
      </c>
      <c r="O40" s="268">
        <v>2</v>
      </c>
      <c r="AA40" s="266">
        <v>3</v>
      </c>
      <c r="AB40" s="266">
        <v>7</v>
      </c>
      <c r="AC40" s="266">
        <v>13318065</v>
      </c>
      <c r="AZ40" s="266">
        <v>2</v>
      </c>
      <c r="BA40" s="266">
        <f>IF(AZ40=1,G40,0)</f>
        <v>0</v>
      </c>
      <c r="BB40" s="266">
        <f>IF(AZ40=2,G40,0)</f>
        <v>0</v>
      </c>
      <c r="BC40" s="266">
        <f>IF(AZ40=3,G40,0)</f>
        <v>0</v>
      </c>
      <c r="BD40" s="266">
        <f>IF(AZ40=4,G40,0)</f>
        <v>0</v>
      </c>
      <c r="BE40" s="266">
        <f>IF(AZ40=5,G40,0)</f>
        <v>0</v>
      </c>
      <c r="CA40" s="268">
        <v>3</v>
      </c>
      <c r="CB40" s="268">
        <v>7</v>
      </c>
      <c r="CZ40" s="266">
        <v>1</v>
      </c>
    </row>
    <row r="41" spans="1:15" ht="12.75">
      <c r="A41" s="226"/>
      <c r="B41" s="227"/>
      <c r="C41" s="1588" t="s">
        <v>2197</v>
      </c>
      <c r="D41" s="1589"/>
      <c r="E41" s="228">
        <v>0.035</v>
      </c>
      <c r="F41" s="229"/>
      <c r="G41" s="230"/>
      <c r="M41" s="234" t="s">
        <v>2197</v>
      </c>
      <c r="O41" s="268"/>
    </row>
    <row r="42" spans="1:15" ht="12.75">
      <c r="A42" s="226"/>
      <c r="B42" s="227"/>
      <c r="C42" s="1588" t="s">
        <v>2198</v>
      </c>
      <c r="D42" s="1589"/>
      <c r="E42" s="228">
        <v>0.0091</v>
      </c>
      <c r="F42" s="229"/>
      <c r="G42" s="230"/>
      <c r="M42" s="234" t="s">
        <v>2198</v>
      </c>
      <c r="O42" s="268"/>
    </row>
    <row r="43" spans="1:104" ht="20.4">
      <c r="A43" s="218">
        <v>13</v>
      </c>
      <c r="B43" s="219" t="s">
        <v>2146</v>
      </c>
      <c r="C43" s="220" t="s">
        <v>2147</v>
      </c>
      <c r="D43" s="221" t="s">
        <v>181</v>
      </c>
      <c r="E43" s="222">
        <v>-1</v>
      </c>
      <c r="F43" s="222">
        <v>0</v>
      </c>
      <c r="G43" s="223">
        <f>E43*F43</f>
        <v>0</v>
      </c>
      <c r="O43" s="268">
        <v>2</v>
      </c>
      <c r="AA43" s="266">
        <v>3</v>
      </c>
      <c r="AB43" s="266">
        <v>7</v>
      </c>
      <c r="AC43" s="266">
        <v>13322939</v>
      </c>
      <c r="AZ43" s="266">
        <v>2</v>
      </c>
      <c r="BA43" s="266">
        <f>IF(AZ43=1,G43,0)</f>
        <v>0</v>
      </c>
      <c r="BB43" s="266">
        <f>IF(AZ43=2,G43,0)</f>
        <v>0</v>
      </c>
      <c r="BC43" s="266">
        <f>IF(AZ43=3,G43,0)</f>
        <v>0</v>
      </c>
      <c r="BD43" s="266">
        <f>IF(AZ43=4,G43,0)</f>
        <v>0</v>
      </c>
      <c r="BE43" s="266">
        <f>IF(AZ43=5,G43,0)</f>
        <v>0</v>
      </c>
      <c r="CA43" s="268">
        <v>3</v>
      </c>
      <c r="CB43" s="268">
        <v>7</v>
      </c>
      <c r="CZ43" s="266">
        <v>1</v>
      </c>
    </row>
    <row r="44" spans="1:104" ht="12.75">
      <c r="A44" s="218">
        <v>14</v>
      </c>
      <c r="B44" s="219" t="s">
        <v>2199</v>
      </c>
      <c r="C44" s="220" t="s">
        <v>2200</v>
      </c>
      <c r="D44" s="221" t="s">
        <v>259</v>
      </c>
      <c r="E44" s="222">
        <v>99.7542</v>
      </c>
      <c r="F44" s="222">
        <v>0</v>
      </c>
      <c r="G44" s="223">
        <f>E44*F44</f>
        <v>0</v>
      </c>
      <c r="O44" s="268">
        <v>2</v>
      </c>
      <c r="AA44" s="266">
        <v>3</v>
      </c>
      <c r="AB44" s="266">
        <v>10</v>
      </c>
      <c r="AC44" s="266">
        <v>133301510000</v>
      </c>
      <c r="AZ44" s="266">
        <v>2</v>
      </c>
      <c r="BA44" s="266">
        <f>IF(AZ44=1,G44,0)</f>
        <v>0</v>
      </c>
      <c r="BB44" s="266">
        <f>IF(AZ44=2,G44,0)</f>
        <v>0</v>
      </c>
      <c r="BC44" s="266">
        <f>IF(AZ44=3,G44,0)</f>
        <v>0</v>
      </c>
      <c r="BD44" s="266">
        <f>IF(AZ44=4,G44,0)</f>
        <v>0</v>
      </c>
      <c r="BE44" s="266">
        <f>IF(AZ44=5,G44,0)</f>
        <v>0</v>
      </c>
      <c r="CA44" s="268">
        <v>3</v>
      </c>
      <c r="CB44" s="268">
        <v>10</v>
      </c>
      <c r="CZ44" s="266">
        <v>0.001</v>
      </c>
    </row>
    <row r="45" spans="1:15" ht="12.75">
      <c r="A45" s="226"/>
      <c r="B45" s="227"/>
      <c r="C45" s="1588" t="s">
        <v>2201</v>
      </c>
      <c r="D45" s="1589"/>
      <c r="E45" s="228">
        <v>99.7542</v>
      </c>
      <c r="F45" s="229"/>
      <c r="G45" s="230"/>
      <c r="M45" s="234" t="s">
        <v>2201</v>
      </c>
      <c r="O45" s="268"/>
    </row>
    <row r="46" spans="1:104" ht="12.75">
      <c r="A46" s="218">
        <v>15</v>
      </c>
      <c r="B46" s="219" t="s">
        <v>2202</v>
      </c>
      <c r="C46" s="220" t="s">
        <v>2203</v>
      </c>
      <c r="D46" s="221" t="s">
        <v>915</v>
      </c>
      <c r="E46" s="222">
        <v>0.038</v>
      </c>
      <c r="F46" s="222">
        <v>0</v>
      </c>
      <c r="G46" s="223">
        <f>E46*F46</f>
        <v>0</v>
      </c>
      <c r="O46" s="268">
        <v>2</v>
      </c>
      <c r="AA46" s="266">
        <v>3</v>
      </c>
      <c r="AB46" s="266">
        <v>7</v>
      </c>
      <c r="AC46" s="266">
        <v>13383420</v>
      </c>
      <c r="AZ46" s="266">
        <v>2</v>
      </c>
      <c r="BA46" s="266">
        <f>IF(AZ46=1,G46,0)</f>
        <v>0</v>
      </c>
      <c r="BB46" s="266">
        <f>IF(AZ46=2,G46,0)</f>
        <v>0</v>
      </c>
      <c r="BC46" s="266">
        <f>IF(AZ46=3,G46,0)</f>
        <v>0</v>
      </c>
      <c r="BD46" s="266">
        <f>IF(AZ46=4,G46,0)</f>
        <v>0</v>
      </c>
      <c r="BE46" s="266">
        <f>IF(AZ46=5,G46,0)</f>
        <v>0</v>
      </c>
      <c r="CA46" s="268">
        <v>3</v>
      </c>
      <c r="CB46" s="268">
        <v>7</v>
      </c>
      <c r="CZ46" s="266">
        <v>1</v>
      </c>
    </row>
    <row r="47" spans="1:15" ht="12.75">
      <c r="A47" s="226"/>
      <c r="B47" s="227"/>
      <c r="C47" s="1588" t="s">
        <v>2204</v>
      </c>
      <c r="D47" s="1589"/>
      <c r="E47" s="228">
        <v>0.038</v>
      </c>
      <c r="F47" s="229"/>
      <c r="G47" s="230"/>
      <c r="M47" s="234" t="s">
        <v>2204</v>
      </c>
      <c r="O47" s="268"/>
    </row>
    <row r="48" spans="1:104" ht="12.75">
      <c r="A48" s="218">
        <v>16</v>
      </c>
      <c r="B48" s="219" t="s">
        <v>2205</v>
      </c>
      <c r="C48" s="220" t="s">
        <v>2206</v>
      </c>
      <c r="D48" s="221" t="s">
        <v>915</v>
      </c>
      <c r="E48" s="222">
        <v>0.1512</v>
      </c>
      <c r="F48" s="222">
        <v>0</v>
      </c>
      <c r="G48" s="223">
        <f>E48*F48</f>
        <v>0</v>
      </c>
      <c r="O48" s="268">
        <v>2</v>
      </c>
      <c r="AA48" s="266">
        <v>3</v>
      </c>
      <c r="AB48" s="266">
        <v>10</v>
      </c>
      <c r="AC48" s="266">
        <v>13384435</v>
      </c>
      <c r="AZ48" s="266">
        <v>2</v>
      </c>
      <c r="BA48" s="266">
        <f>IF(AZ48=1,G48,0)</f>
        <v>0</v>
      </c>
      <c r="BB48" s="266">
        <f>IF(AZ48=2,G48,0)</f>
        <v>0</v>
      </c>
      <c r="BC48" s="266">
        <f>IF(AZ48=3,G48,0)</f>
        <v>0</v>
      </c>
      <c r="BD48" s="266">
        <f>IF(AZ48=4,G48,0)</f>
        <v>0</v>
      </c>
      <c r="BE48" s="266">
        <f>IF(AZ48=5,G48,0)</f>
        <v>0</v>
      </c>
      <c r="CA48" s="268">
        <v>3</v>
      </c>
      <c r="CB48" s="268">
        <v>10</v>
      </c>
      <c r="CZ48" s="266">
        <v>1</v>
      </c>
    </row>
    <row r="49" spans="1:15" ht="12.75">
      <c r="A49" s="226"/>
      <c r="B49" s="227"/>
      <c r="C49" s="1588" t="s">
        <v>2207</v>
      </c>
      <c r="D49" s="1589"/>
      <c r="E49" s="228">
        <v>0.1176</v>
      </c>
      <c r="F49" s="229"/>
      <c r="G49" s="230"/>
      <c r="M49" s="234" t="s">
        <v>2207</v>
      </c>
      <c r="O49" s="268"/>
    </row>
    <row r="50" spans="1:15" ht="12.75">
      <c r="A50" s="226"/>
      <c r="B50" s="227"/>
      <c r="C50" s="1588" t="s">
        <v>2208</v>
      </c>
      <c r="D50" s="1589"/>
      <c r="E50" s="228">
        <v>0.0336</v>
      </c>
      <c r="F50" s="229"/>
      <c r="G50" s="230"/>
      <c r="M50" s="234" t="s">
        <v>2208</v>
      </c>
      <c r="O50" s="268"/>
    </row>
    <row r="51" spans="1:104" ht="12.75">
      <c r="A51" s="218">
        <v>17</v>
      </c>
      <c r="B51" s="219" t="s">
        <v>2209</v>
      </c>
      <c r="C51" s="220" t="s">
        <v>2210</v>
      </c>
      <c r="D51" s="221" t="s">
        <v>915</v>
      </c>
      <c r="E51" s="222">
        <v>0.0051</v>
      </c>
      <c r="F51" s="222">
        <v>0</v>
      </c>
      <c r="G51" s="223">
        <f>E51*F51</f>
        <v>0</v>
      </c>
      <c r="O51" s="268">
        <v>2</v>
      </c>
      <c r="AA51" s="266">
        <v>3</v>
      </c>
      <c r="AB51" s="266">
        <v>7</v>
      </c>
      <c r="AC51" s="266">
        <v>13511120</v>
      </c>
      <c r="AZ51" s="266">
        <v>2</v>
      </c>
      <c r="BA51" s="266">
        <f>IF(AZ51=1,G51,0)</f>
        <v>0</v>
      </c>
      <c r="BB51" s="266">
        <f>IF(AZ51=2,G51,0)</f>
        <v>0</v>
      </c>
      <c r="BC51" s="266">
        <f>IF(AZ51=3,G51,0)</f>
        <v>0</v>
      </c>
      <c r="BD51" s="266">
        <f>IF(AZ51=4,G51,0)</f>
        <v>0</v>
      </c>
      <c r="BE51" s="266">
        <f>IF(AZ51=5,G51,0)</f>
        <v>0</v>
      </c>
      <c r="CA51" s="268">
        <v>3</v>
      </c>
      <c r="CB51" s="268">
        <v>7</v>
      </c>
      <c r="CZ51" s="266">
        <v>1</v>
      </c>
    </row>
    <row r="52" spans="1:15" ht="12.75">
      <c r="A52" s="226"/>
      <c r="B52" s="227"/>
      <c r="C52" s="1588" t="s">
        <v>2211</v>
      </c>
      <c r="D52" s="1589"/>
      <c r="E52" s="228">
        <v>0.0051</v>
      </c>
      <c r="F52" s="229"/>
      <c r="G52" s="230"/>
      <c r="M52" s="234" t="s">
        <v>2211</v>
      </c>
      <c r="O52" s="268"/>
    </row>
    <row r="53" spans="1:104" ht="12.75">
      <c r="A53" s="218">
        <v>18</v>
      </c>
      <c r="B53" s="219" t="s">
        <v>2212</v>
      </c>
      <c r="C53" s="220" t="s">
        <v>2213</v>
      </c>
      <c r="D53" s="221" t="s">
        <v>915</v>
      </c>
      <c r="E53" s="222">
        <v>0.0303</v>
      </c>
      <c r="F53" s="222">
        <v>0</v>
      </c>
      <c r="G53" s="223">
        <f>E53*F53</f>
        <v>0</v>
      </c>
      <c r="O53" s="268">
        <v>2</v>
      </c>
      <c r="AA53" s="266">
        <v>3</v>
      </c>
      <c r="AB53" s="266">
        <v>7</v>
      </c>
      <c r="AC53" s="266">
        <v>13530820</v>
      </c>
      <c r="AZ53" s="266">
        <v>2</v>
      </c>
      <c r="BA53" s="266">
        <f>IF(AZ53=1,G53,0)</f>
        <v>0</v>
      </c>
      <c r="BB53" s="266">
        <f>IF(AZ53=2,G53,0)</f>
        <v>0</v>
      </c>
      <c r="BC53" s="266">
        <f>IF(AZ53=3,G53,0)</f>
        <v>0</v>
      </c>
      <c r="BD53" s="266">
        <f>IF(AZ53=4,G53,0)</f>
        <v>0</v>
      </c>
      <c r="BE53" s="266">
        <f>IF(AZ53=5,G53,0)</f>
        <v>0</v>
      </c>
      <c r="CA53" s="268">
        <v>3</v>
      </c>
      <c r="CB53" s="268">
        <v>7</v>
      </c>
      <c r="CZ53" s="266">
        <v>1</v>
      </c>
    </row>
    <row r="54" spans="1:15" ht="12.75">
      <c r="A54" s="226"/>
      <c r="B54" s="227"/>
      <c r="C54" s="1588" t="s">
        <v>2214</v>
      </c>
      <c r="D54" s="1589"/>
      <c r="E54" s="228">
        <v>0.0152</v>
      </c>
      <c r="F54" s="229"/>
      <c r="G54" s="230"/>
      <c r="M54" s="234" t="s">
        <v>2214</v>
      </c>
      <c r="O54" s="268"/>
    </row>
    <row r="55" spans="1:15" ht="12.75">
      <c r="A55" s="226"/>
      <c r="B55" s="227"/>
      <c r="C55" s="1588" t="s">
        <v>2215</v>
      </c>
      <c r="D55" s="1589"/>
      <c r="E55" s="228">
        <v>0.0152</v>
      </c>
      <c r="F55" s="229"/>
      <c r="G55" s="230"/>
      <c r="M55" s="234" t="s">
        <v>2215</v>
      </c>
      <c r="O55" s="268"/>
    </row>
    <row r="56" spans="1:104" ht="12.75">
      <c r="A56" s="218">
        <v>19</v>
      </c>
      <c r="B56" s="219" t="s">
        <v>2216</v>
      </c>
      <c r="C56" s="220" t="s">
        <v>2217</v>
      </c>
      <c r="D56" s="221" t="s">
        <v>231</v>
      </c>
      <c r="E56" s="222">
        <v>9.45</v>
      </c>
      <c r="F56" s="222">
        <v>0</v>
      </c>
      <c r="G56" s="223">
        <f>E56*F56</f>
        <v>0</v>
      </c>
      <c r="O56" s="268">
        <v>2</v>
      </c>
      <c r="AA56" s="266">
        <v>3</v>
      </c>
      <c r="AB56" s="266">
        <v>7</v>
      </c>
      <c r="AC56" s="266">
        <v>14120875</v>
      </c>
      <c r="AZ56" s="266">
        <v>2</v>
      </c>
      <c r="BA56" s="266">
        <f>IF(AZ56=1,G56,0)</f>
        <v>0</v>
      </c>
      <c r="BB56" s="266">
        <f>IF(AZ56=2,G56,0)</f>
        <v>0</v>
      </c>
      <c r="BC56" s="266">
        <f>IF(AZ56=3,G56,0)</f>
        <v>0</v>
      </c>
      <c r="BD56" s="266">
        <f>IF(AZ56=4,G56,0)</f>
        <v>0</v>
      </c>
      <c r="BE56" s="266">
        <f>IF(AZ56=5,G56,0)</f>
        <v>0</v>
      </c>
      <c r="CA56" s="268">
        <v>3</v>
      </c>
      <c r="CB56" s="268">
        <v>7</v>
      </c>
      <c r="CZ56" s="266">
        <v>0.00682</v>
      </c>
    </row>
    <row r="57" spans="1:15" ht="12.75">
      <c r="A57" s="226"/>
      <c r="B57" s="227"/>
      <c r="C57" s="1588" t="s">
        <v>2218</v>
      </c>
      <c r="D57" s="1589"/>
      <c r="E57" s="228">
        <v>7.35</v>
      </c>
      <c r="F57" s="229"/>
      <c r="G57" s="230"/>
      <c r="M57" s="234" t="s">
        <v>2218</v>
      </c>
      <c r="O57" s="268"/>
    </row>
    <row r="58" spans="1:15" ht="12.75">
      <c r="A58" s="226"/>
      <c r="B58" s="227"/>
      <c r="C58" s="1588" t="s">
        <v>2219</v>
      </c>
      <c r="D58" s="1589"/>
      <c r="E58" s="228">
        <v>2.1</v>
      </c>
      <c r="F58" s="229"/>
      <c r="G58" s="230"/>
      <c r="M58" s="234" t="s">
        <v>2219</v>
      </c>
      <c r="O58" s="268"/>
    </row>
    <row r="59" spans="1:104" ht="12.75">
      <c r="A59" s="218">
        <v>20</v>
      </c>
      <c r="B59" s="219" t="s">
        <v>2220</v>
      </c>
      <c r="C59" s="220" t="s">
        <v>2221</v>
      </c>
      <c r="D59" s="221" t="s">
        <v>757</v>
      </c>
      <c r="E59" s="222">
        <v>10</v>
      </c>
      <c r="F59" s="222">
        <v>0</v>
      </c>
      <c r="G59" s="223">
        <f>E59*F59</f>
        <v>0</v>
      </c>
      <c r="O59" s="268">
        <v>2</v>
      </c>
      <c r="AA59" s="266">
        <v>3</v>
      </c>
      <c r="AB59" s="266">
        <v>10</v>
      </c>
      <c r="AC59" s="266">
        <v>15945020</v>
      </c>
      <c r="AZ59" s="266">
        <v>2</v>
      </c>
      <c r="BA59" s="266">
        <f>IF(AZ59=1,G59,0)</f>
        <v>0</v>
      </c>
      <c r="BB59" s="266">
        <f>IF(AZ59=2,G59,0)</f>
        <v>0</v>
      </c>
      <c r="BC59" s="266">
        <f>IF(AZ59=3,G59,0)</f>
        <v>0</v>
      </c>
      <c r="BD59" s="266">
        <f>IF(AZ59=4,G59,0)</f>
        <v>0</v>
      </c>
      <c r="BE59" s="266">
        <f>IF(AZ59=5,G59,0)</f>
        <v>0</v>
      </c>
      <c r="CA59" s="268">
        <v>3</v>
      </c>
      <c r="CB59" s="268">
        <v>10</v>
      </c>
      <c r="CZ59" s="266">
        <v>1</v>
      </c>
    </row>
    <row r="60" spans="1:15" ht="12.75">
      <c r="A60" s="226"/>
      <c r="B60" s="227"/>
      <c r="C60" s="1588" t="s">
        <v>2222</v>
      </c>
      <c r="D60" s="1589"/>
      <c r="E60" s="228">
        <v>10</v>
      </c>
      <c r="F60" s="229"/>
      <c r="G60" s="230"/>
      <c r="M60" s="234" t="s">
        <v>2222</v>
      </c>
      <c r="O60" s="268"/>
    </row>
    <row r="61" spans="1:104" ht="12.75">
      <c r="A61" s="218">
        <v>21</v>
      </c>
      <c r="B61" s="219" t="s">
        <v>2223</v>
      </c>
      <c r="C61" s="220" t="s">
        <v>2224</v>
      </c>
      <c r="D61" s="221" t="s">
        <v>757</v>
      </c>
      <c r="E61" s="222">
        <v>1</v>
      </c>
      <c r="F61" s="222">
        <v>0</v>
      </c>
      <c r="G61" s="223">
        <f>E61*F61</f>
        <v>0</v>
      </c>
      <c r="O61" s="268">
        <v>2</v>
      </c>
      <c r="AA61" s="266">
        <v>3</v>
      </c>
      <c r="AB61" s="266">
        <v>7</v>
      </c>
      <c r="AC61" s="266">
        <v>15945021</v>
      </c>
      <c r="AZ61" s="266">
        <v>2</v>
      </c>
      <c r="BA61" s="266">
        <f>IF(AZ61=1,G61,0)</f>
        <v>0</v>
      </c>
      <c r="BB61" s="266">
        <f>IF(AZ61=2,G61,0)</f>
        <v>0</v>
      </c>
      <c r="BC61" s="266">
        <f>IF(AZ61=3,G61,0)</f>
        <v>0</v>
      </c>
      <c r="BD61" s="266">
        <f>IF(AZ61=4,G61,0)</f>
        <v>0</v>
      </c>
      <c r="BE61" s="266">
        <f>IF(AZ61=5,G61,0)</f>
        <v>0</v>
      </c>
      <c r="CA61" s="268">
        <v>3</v>
      </c>
      <c r="CB61" s="268">
        <v>7</v>
      </c>
      <c r="CZ61" s="266">
        <v>0</v>
      </c>
    </row>
    <row r="62" spans="1:15" ht="12.75">
      <c r="A62" s="226"/>
      <c r="B62" s="227"/>
      <c r="C62" s="1588" t="s">
        <v>2225</v>
      </c>
      <c r="D62" s="1589"/>
      <c r="E62" s="228">
        <v>1</v>
      </c>
      <c r="F62" s="229"/>
      <c r="G62" s="230"/>
      <c r="M62" s="234" t="s">
        <v>2225</v>
      </c>
      <c r="O62" s="268"/>
    </row>
    <row r="63" spans="1:104" ht="12.75">
      <c r="A63" s="218">
        <v>22</v>
      </c>
      <c r="B63" s="219" t="s">
        <v>2226</v>
      </c>
      <c r="C63" s="220" t="s">
        <v>2227</v>
      </c>
      <c r="D63" s="221" t="s">
        <v>196</v>
      </c>
      <c r="E63" s="222">
        <v>16</v>
      </c>
      <c r="F63" s="222">
        <v>0</v>
      </c>
      <c r="G63" s="223">
        <f>E63*F63</f>
        <v>0</v>
      </c>
      <c r="O63" s="268">
        <v>2</v>
      </c>
      <c r="AA63" s="266">
        <v>3</v>
      </c>
      <c r="AB63" s="266">
        <v>7</v>
      </c>
      <c r="AC63" s="266">
        <v>31110713</v>
      </c>
      <c r="AZ63" s="266">
        <v>2</v>
      </c>
      <c r="BA63" s="266">
        <f>IF(AZ63=1,G63,0)</f>
        <v>0</v>
      </c>
      <c r="BB63" s="266">
        <f>IF(AZ63=2,G63,0)</f>
        <v>0</v>
      </c>
      <c r="BC63" s="266">
        <f>IF(AZ63=3,G63,0)</f>
        <v>0</v>
      </c>
      <c r="BD63" s="266">
        <f>IF(AZ63=4,G63,0)</f>
        <v>0</v>
      </c>
      <c r="BE63" s="266">
        <f>IF(AZ63=5,G63,0)</f>
        <v>0</v>
      </c>
      <c r="CA63" s="268">
        <v>3</v>
      </c>
      <c r="CB63" s="268">
        <v>7</v>
      </c>
      <c r="CZ63" s="266">
        <v>0</v>
      </c>
    </row>
    <row r="64" spans="1:15" ht="12.75">
      <c r="A64" s="226"/>
      <c r="B64" s="227"/>
      <c r="C64" s="1588" t="s">
        <v>2228</v>
      </c>
      <c r="D64" s="1589"/>
      <c r="E64" s="228">
        <v>16</v>
      </c>
      <c r="F64" s="229"/>
      <c r="G64" s="230"/>
      <c r="M64" s="234" t="s">
        <v>2228</v>
      </c>
      <c r="O64" s="268"/>
    </row>
    <row r="65" spans="1:104" ht="12.75">
      <c r="A65" s="218">
        <v>23</v>
      </c>
      <c r="B65" s="219" t="s">
        <v>2229</v>
      </c>
      <c r="C65" s="220" t="s">
        <v>2230</v>
      </c>
      <c r="D65" s="221" t="s">
        <v>196</v>
      </c>
      <c r="E65" s="222">
        <v>4</v>
      </c>
      <c r="F65" s="222">
        <v>0</v>
      </c>
      <c r="G65" s="223">
        <f>E65*F65</f>
        <v>0</v>
      </c>
      <c r="O65" s="268">
        <v>2</v>
      </c>
      <c r="AA65" s="266">
        <v>3</v>
      </c>
      <c r="AB65" s="266">
        <v>7</v>
      </c>
      <c r="AC65" s="266" t="s">
        <v>2229</v>
      </c>
      <c r="AZ65" s="266">
        <v>2</v>
      </c>
      <c r="BA65" s="266">
        <f>IF(AZ65=1,G65,0)</f>
        <v>0</v>
      </c>
      <c r="BB65" s="266">
        <f>IF(AZ65=2,G65,0)</f>
        <v>0</v>
      </c>
      <c r="BC65" s="266">
        <f>IF(AZ65=3,G65,0)</f>
        <v>0</v>
      </c>
      <c r="BD65" s="266">
        <f>IF(AZ65=4,G65,0)</f>
        <v>0</v>
      </c>
      <c r="BE65" s="266">
        <f>IF(AZ65=5,G65,0)</f>
        <v>0</v>
      </c>
      <c r="CA65" s="268">
        <v>3</v>
      </c>
      <c r="CB65" s="268">
        <v>7</v>
      </c>
      <c r="CZ65" s="266">
        <v>0</v>
      </c>
    </row>
    <row r="66" spans="1:15" ht="12.75">
      <c r="A66" s="226"/>
      <c r="B66" s="227"/>
      <c r="C66" s="1588" t="s">
        <v>2231</v>
      </c>
      <c r="D66" s="1589"/>
      <c r="E66" s="228">
        <v>4</v>
      </c>
      <c r="F66" s="229"/>
      <c r="G66" s="230"/>
      <c r="M66" s="234" t="s">
        <v>2231</v>
      </c>
      <c r="O66" s="268"/>
    </row>
    <row r="67" spans="1:104" ht="12.75">
      <c r="A67" s="218">
        <v>24</v>
      </c>
      <c r="B67" s="219" t="s">
        <v>2232</v>
      </c>
      <c r="C67" s="220" t="s">
        <v>2233</v>
      </c>
      <c r="D67" s="221" t="s">
        <v>196</v>
      </c>
      <c r="E67" s="222">
        <v>8</v>
      </c>
      <c r="F67" s="222">
        <v>0</v>
      </c>
      <c r="G67" s="223">
        <f>E67*F67</f>
        <v>0</v>
      </c>
      <c r="O67" s="268">
        <v>2</v>
      </c>
      <c r="AA67" s="266">
        <v>3</v>
      </c>
      <c r="AB67" s="266">
        <v>7</v>
      </c>
      <c r="AC67" s="266" t="s">
        <v>2232</v>
      </c>
      <c r="AZ67" s="266">
        <v>2</v>
      </c>
      <c r="BA67" s="266">
        <f>IF(AZ67=1,G67,0)</f>
        <v>0</v>
      </c>
      <c r="BB67" s="266">
        <f>IF(AZ67=2,G67,0)</f>
        <v>0</v>
      </c>
      <c r="BC67" s="266">
        <f>IF(AZ67=3,G67,0)</f>
        <v>0</v>
      </c>
      <c r="BD67" s="266">
        <f>IF(AZ67=4,G67,0)</f>
        <v>0</v>
      </c>
      <c r="BE67" s="266">
        <f>IF(AZ67=5,G67,0)</f>
        <v>0</v>
      </c>
      <c r="CA67" s="268">
        <v>3</v>
      </c>
      <c r="CB67" s="268">
        <v>7</v>
      </c>
      <c r="CZ67" s="266">
        <v>0</v>
      </c>
    </row>
    <row r="68" spans="1:15" ht="12.75">
      <c r="A68" s="226"/>
      <c r="B68" s="227"/>
      <c r="C68" s="1588" t="s">
        <v>2234</v>
      </c>
      <c r="D68" s="1589"/>
      <c r="E68" s="228">
        <v>4</v>
      </c>
      <c r="F68" s="229"/>
      <c r="G68" s="230"/>
      <c r="M68" s="234" t="s">
        <v>2234</v>
      </c>
      <c r="O68" s="268"/>
    </row>
    <row r="69" spans="1:15" ht="12.75">
      <c r="A69" s="226"/>
      <c r="B69" s="227"/>
      <c r="C69" s="1588" t="s">
        <v>2235</v>
      </c>
      <c r="D69" s="1589"/>
      <c r="E69" s="228">
        <v>4</v>
      </c>
      <c r="F69" s="229"/>
      <c r="G69" s="230"/>
      <c r="M69" s="234" t="s">
        <v>2235</v>
      </c>
      <c r="O69" s="268"/>
    </row>
    <row r="70" spans="1:104" ht="12.75">
      <c r="A70" s="218">
        <v>25</v>
      </c>
      <c r="B70" s="219" t="s">
        <v>2236</v>
      </c>
      <c r="C70" s="220" t="s">
        <v>2237</v>
      </c>
      <c r="D70" s="221" t="s">
        <v>231</v>
      </c>
      <c r="E70" s="222">
        <v>16</v>
      </c>
      <c r="F70" s="222">
        <v>0</v>
      </c>
      <c r="G70" s="223">
        <f>E70*F70</f>
        <v>0</v>
      </c>
      <c r="O70" s="268">
        <v>2</v>
      </c>
      <c r="AA70" s="266">
        <v>3</v>
      </c>
      <c r="AB70" s="266">
        <v>7</v>
      </c>
      <c r="AC70" s="266">
        <v>31179106</v>
      </c>
      <c r="AZ70" s="266">
        <v>2</v>
      </c>
      <c r="BA70" s="266">
        <f>IF(AZ70=1,G70,0)</f>
        <v>0</v>
      </c>
      <c r="BB70" s="266">
        <f>IF(AZ70=2,G70,0)</f>
        <v>0</v>
      </c>
      <c r="BC70" s="266">
        <f>IF(AZ70=3,G70,0)</f>
        <v>0</v>
      </c>
      <c r="BD70" s="266">
        <f>IF(AZ70=4,G70,0)</f>
        <v>0</v>
      </c>
      <c r="BE70" s="266">
        <f>IF(AZ70=5,G70,0)</f>
        <v>0</v>
      </c>
      <c r="CA70" s="268">
        <v>3</v>
      </c>
      <c r="CB70" s="268">
        <v>7</v>
      </c>
      <c r="CZ70" s="266">
        <v>0.0005</v>
      </c>
    </row>
    <row r="71" spans="1:15" ht="12.75">
      <c r="A71" s="226"/>
      <c r="B71" s="227"/>
      <c r="C71" s="1588" t="s">
        <v>2238</v>
      </c>
      <c r="D71" s="1589"/>
      <c r="E71" s="228">
        <v>16</v>
      </c>
      <c r="F71" s="229"/>
      <c r="G71" s="230"/>
      <c r="M71" s="234" t="s">
        <v>2238</v>
      </c>
      <c r="O71" s="268"/>
    </row>
    <row r="72" spans="1:104" ht="12.75">
      <c r="A72" s="218">
        <v>26</v>
      </c>
      <c r="B72" s="219" t="s">
        <v>263</v>
      </c>
      <c r="C72" s="220" t="s">
        <v>264</v>
      </c>
      <c r="D72" s="221" t="s">
        <v>9</v>
      </c>
      <c r="E72" s="222"/>
      <c r="F72" s="222">
        <v>0</v>
      </c>
      <c r="G72" s="223">
        <f>E72*F72</f>
        <v>0</v>
      </c>
      <c r="O72" s="268">
        <v>2</v>
      </c>
      <c r="AA72" s="266">
        <v>7</v>
      </c>
      <c r="AB72" s="266">
        <v>1002</v>
      </c>
      <c r="AC72" s="266">
        <v>5</v>
      </c>
      <c r="AZ72" s="266">
        <v>2</v>
      </c>
      <c r="BA72" s="266">
        <f>IF(AZ72=1,G72,0)</f>
        <v>0</v>
      </c>
      <c r="BB72" s="266">
        <f>IF(AZ72=2,G72,0)</f>
        <v>0</v>
      </c>
      <c r="BC72" s="266">
        <f>IF(AZ72=3,G72,0)</f>
        <v>0</v>
      </c>
      <c r="BD72" s="266">
        <f>IF(AZ72=4,G72,0)</f>
        <v>0</v>
      </c>
      <c r="BE72" s="266">
        <f>IF(AZ72=5,G72,0)</f>
        <v>0</v>
      </c>
      <c r="CA72" s="268">
        <v>7</v>
      </c>
      <c r="CB72" s="268">
        <v>1002</v>
      </c>
      <c r="CZ72" s="266">
        <v>0</v>
      </c>
    </row>
    <row r="73" spans="1:57" ht="12.75">
      <c r="A73" s="236"/>
      <c r="B73" s="237" t="s">
        <v>175</v>
      </c>
      <c r="C73" s="238" t="str">
        <f>CONCATENATE(B34," ",C34)</f>
        <v>767 Konstrukce zámečnické</v>
      </c>
      <c r="D73" s="239"/>
      <c r="E73" s="240"/>
      <c r="F73" s="241"/>
      <c r="G73" s="242">
        <f>SUM(G34:G72)</f>
        <v>0</v>
      </c>
      <c r="O73" s="268">
        <v>4</v>
      </c>
      <c r="BA73" s="269">
        <f>SUM(BA34:BA72)</f>
        <v>0</v>
      </c>
      <c r="BB73" s="269">
        <f>SUM(BB34:BB72)</f>
        <v>0</v>
      </c>
      <c r="BC73" s="269">
        <f>SUM(BC34:BC72)</f>
        <v>0</v>
      </c>
      <c r="BD73" s="269">
        <f>SUM(BD34:BD72)</f>
        <v>0</v>
      </c>
      <c r="BE73" s="269">
        <f>SUM(BE34:BE72)</f>
        <v>0</v>
      </c>
    </row>
    <row r="74" spans="1:15" ht="12.75">
      <c r="A74" s="207" t="s">
        <v>140</v>
      </c>
      <c r="B74" s="208" t="s">
        <v>994</v>
      </c>
      <c r="C74" s="209" t="s">
        <v>995</v>
      </c>
      <c r="D74" s="210"/>
      <c r="E74" s="211"/>
      <c r="F74" s="211"/>
      <c r="G74" s="212"/>
      <c r="H74" s="267"/>
      <c r="I74" s="267"/>
      <c r="O74" s="268">
        <v>1</v>
      </c>
    </row>
    <row r="75" spans="1:104" ht="12.75">
      <c r="A75" s="218">
        <v>27</v>
      </c>
      <c r="B75" s="219" t="s">
        <v>2162</v>
      </c>
      <c r="C75" s="220" t="s">
        <v>2163</v>
      </c>
      <c r="D75" s="221" t="s">
        <v>145</v>
      </c>
      <c r="E75" s="222">
        <v>2</v>
      </c>
      <c r="F75" s="222">
        <v>0</v>
      </c>
      <c r="G75" s="223">
        <f>E75*F75</f>
        <v>0</v>
      </c>
      <c r="O75" s="268">
        <v>2</v>
      </c>
      <c r="AA75" s="266">
        <v>1</v>
      </c>
      <c r="AB75" s="266">
        <v>7</v>
      </c>
      <c r="AC75" s="266">
        <v>7</v>
      </c>
      <c r="AZ75" s="266">
        <v>2</v>
      </c>
      <c r="BA75" s="266">
        <f>IF(AZ75=1,G75,0)</f>
        <v>0</v>
      </c>
      <c r="BB75" s="266">
        <f>IF(AZ75=2,G75,0)</f>
        <v>0</v>
      </c>
      <c r="BC75" s="266">
        <f>IF(AZ75=3,G75,0)</f>
        <v>0</v>
      </c>
      <c r="BD75" s="266">
        <f>IF(AZ75=4,G75,0)</f>
        <v>0</v>
      </c>
      <c r="BE75" s="266">
        <f>IF(AZ75=5,G75,0)</f>
        <v>0</v>
      </c>
      <c r="CA75" s="268">
        <v>1</v>
      </c>
      <c r="CB75" s="268">
        <v>7</v>
      </c>
      <c r="CZ75" s="266">
        <v>0.00041</v>
      </c>
    </row>
    <row r="76" spans="1:15" ht="12.75">
      <c r="A76" s="226"/>
      <c r="B76" s="227"/>
      <c r="C76" s="1588" t="s">
        <v>2164</v>
      </c>
      <c r="D76" s="1589"/>
      <c r="E76" s="228">
        <v>3.6</v>
      </c>
      <c r="F76" s="229"/>
      <c r="G76" s="230"/>
      <c r="M76" s="234" t="s">
        <v>2164</v>
      </c>
      <c r="O76" s="268"/>
    </row>
    <row r="77" spans="1:15" ht="12.75">
      <c r="A77" s="226"/>
      <c r="B77" s="227"/>
      <c r="C77" s="1588" t="s">
        <v>2239</v>
      </c>
      <c r="D77" s="1589"/>
      <c r="E77" s="228">
        <v>2</v>
      </c>
      <c r="F77" s="229"/>
      <c r="G77" s="230"/>
      <c r="M77" s="234" t="s">
        <v>2239</v>
      </c>
      <c r="O77" s="268"/>
    </row>
    <row r="78" spans="1:15" ht="12.75">
      <c r="A78" s="226"/>
      <c r="B78" s="227"/>
      <c r="C78" s="1588" t="s">
        <v>2240</v>
      </c>
      <c r="D78" s="1589"/>
      <c r="E78" s="228">
        <v>-3.6</v>
      </c>
      <c r="F78" s="229"/>
      <c r="G78" s="230"/>
      <c r="M78" s="234" t="s">
        <v>2240</v>
      </c>
      <c r="O78" s="268"/>
    </row>
    <row r="79" spans="1:57" ht="12.75">
      <c r="A79" s="236"/>
      <c r="B79" s="237" t="s">
        <v>175</v>
      </c>
      <c r="C79" s="238" t="str">
        <f>CONCATENATE(B74," ",C74)</f>
        <v>783 Nátěry</v>
      </c>
      <c r="D79" s="239"/>
      <c r="E79" s="240"/>
      <c r="F79" s="241"/>
      <c r="G79" s="242">
        <f>SUM(G74:G78)</f>
        <v>0</v>
      </c>
      <c r="O79" s="268">
        <v>4</v>
      </c>
      <c r="BA79" s="269">
        <f>SUM(BA74:BA78)</f>
        <v>0</v>
      </c>
      <c r="BB79" s="269">
        <f>SUM(BB74:BB78)</f>
        <v>0</v>
      </c>
      <c r="BC79" s="269">
        <f>SUM(BC74:BC78)</f>
        <v>0</v>
      </c>
      <c r="BD79" s="269">
        <f>SUM(BD74:BD78)</f>
        <v>0</v>
      </c>
      <c r="BE79" s="269">
        <f>SUM(BE74:BE78)</f>
        <v>0</v>
      </c>
    </row>
    <row r="80" spans="1:15" ht="12.75">
      <c r="A80" s="207" t="s">
        <v>140</v>
      </c>
      <c r="B80" s="208" t="s">
        <v>266</v>
      </c>
      <c r="C80" s="209" t="s">
        <v>267</v>
      </c>
      <c r="D80" s="210"/>
      <c r="E80" s="211"/>
      <c r="F80" s="211"/>
      <c r="G80" s="212"/>
      <c r="H80" s="267"/>
      <c r="I80" s="267"/>
      <c r="O80" s="268">
        <v>1</v>
      </c>
    </row>
    <row r="81" spans="1:104" ht="12.75">
      <c r="A81" s="218">
        <v>28</v>
      </c>
      <c r="B81" s="219" t="s">
        <v>268</v>
      </c>
      <c r="C81" s="220" t="s">
        <v>269</v>
      </c>
      <c r="D81" s="221" t="s">
        <v>166</v>
      </c>
      <c r="E81" s="222">
        <v>-4.29004</v>
      </c>
      <c r="F81" s="222">
        <v>0</v>
      </c>
      <c r="G81" s="223">
        <f>E81*F81</f>
        <v>0</v>
      </c>
      <c r="O81" s="268">
        <v>2</v>
      </c>
      <c r="AA81" s="266">
        <v>8</v>
      </c>
      <c r="AB81" s="266">
        <v>0</v>
      </c>
      <c r="AC81" s="266">
        <v>3</v>
      </c>
      <c r="AZ81" s="266">
        <v>1</v>
      </c>
      <c r="BA81" s="266">
        <f>IF(AZ81=1,G81,0)</f>
        <v>0</v>
      </c>
      <c r="BB81" s="266">
        <f>IF(AZ81=2,G81,0)</f>
        <v>0</v>
      </c>
      <c r="BC81" s="266">
        <f>IF(AZ81=3,G81,0)</f>
        <v>0</v>
      </c>
      <c r="BD81" s="266">
        <f>IF(AZ81=4,G81,0)</f>
        <v>0</v>
      </c>
      <c r="BE81" s="266">
        <f>IF(AZ81=5,G81,0)</f>
        <v>0</v>
      </c>
      <c r="CA81" s="268">
        <v>8</v>
      </c>
      <c r="CB81" s="268">
        <v>0</v>
      </c>
      <c r="CZ81" s="266">
        <v>0</v>
      </c>
    </row>
    <row r="82" spans="1:104" ht="12.75">
      <c r="A82" s="218">
        <v>29</v>
      </c>
      <c r="B82" s="219" t="s">
        <v>270</v>
      </c>
      <c r="C82" s="220" t="s">
        <v>271</v>
      </c>
      <c r="D82" s="221" t="s">
        <v>166</v>
      </c>
      <c r="E82" s="222">
        <v>-81.51076</v>
      </c>
      <c r="F82" s="222">
        <v>0</v>
      </c>
      <c r="G82" s="223">
        <f>E82*F82</f>
        <v>0</v>
      </c>
      <c r="O82" s="268">
        <v>2</v>
      </c>
      <c r="AA82" s="266">
        <v>8</v>
      </c>
      <c r="AB82" s="266">
        <v>0</v>
      </c>
      <c r="AC82" s="266">
        <v>3</v>
      </c>
      <c r="AZ82" s="266">
        <v>1</v>
      </c>
      <c r="BA82" s="266">
        <f>IF(AZ82=1,G82,0)</f>
        <v>0</v>
      </c>
      <c r="BB82" s="266">
        <f>IF(AZ82=2,G82,0)</f>
        <v>0</v>
      </c>
      <c r="BC82" s="266">
        <f>IF(AZ82=3,G82,0)</f>
        <v>0</v>
      </c>
      <c r="BD82" s="266">
        <f>IF(AZ82=4,G82,0)</f>
        <v>0</v>
      </c>
      <c r="BE82" s="266">
        <f>IF(AZ82=5,G82,0)</f>
        <v>0</v>
      </c>
      <c r="CA82" s="268">
        <v>8</v>
      </c>
      <c r="CB82" s="268">
        <v>0</v>
      </c>
      <c r="CZ82" s="266">
        <v>0</v>
      </c>
    </row>
    <row r="83" spans="1:104" ht="12.75">
      <c r="A83" s="218">
        <v>30</v>
      </c>
      <c r="B83" s="219" t="s">
        <v>272</v>
      </c>
      <c r="C83" s="220" t="s">
        <v>2171</v>
      </c>
      <c r="D83" s="221" t="s">
        <v>166</v>
      </c>
      <c r="E83" s="222">
        <v>-4.29004</v>
      </c>
      <c r="F83" s="222">
        <v>0</v>
      </c>
      <c r="G83" s="223">
        <f>E83*F83</f>
        <v>0</v>
      </c>
      <c r="O83" s="268">
        <v>2</v>
      </c>
      <c r="AA83" s="266">
        <v>8</v>
      </c>
      <c r="AB83" s="266">
        <v>0</v>
      </c>
      <c r="AC83" s="266">
        <v>3</v>
      </c>
      <c r="AZ83" s="266">
        <v>1</v>
      </c>
      <c r="BA83" s="266">
        <f>IF(AZ83=1,G83,0)</f>
        <v>0</v>
      </c>
      <c r="BB83" s="266">
        <f>IF(AZ83=2,G83,0)</f>
        <v>0</v>
      </c>
      <c r="BC83" s="266">
        <f>IF(AZ83=3,G83,0)</f>
        <v>0</v>
      </c>
      <c r="BD83" s="266">
        <f>IF(AZ83=4,G83,0)</f>
        <v>0</v>
      </c>
      <c r="BE83" s="266">
        <f>IF(AZ83=5,G83,0)</f>
        <v>0</v>
      </c>
      <c r="CA83" s="268">
        <v>8</v>
      </c>
      <c r="CB83" s="268">
        <v>0</v>
      </c>
      <c r="CZ83" s="266">
        <v>0</v>
      </c>
    </row>
    <row r="84" spans="1:104" ht="20.4">
      <c r="A84" s="218">
        <v>31</v>
      </c>
      <c r="B84" s="219" t="s">
        <v>274</v>
      </c>
      <c r="C84" s="220" t="s">
        <v>2172</v>
      </c>
      <c r="D84" s="221" t="s">
        <v>166</v>
      </c>
      <c r="E84" s="222">
        <v>-21.4502</v>
      </c>
      <c r="F84" s="222">
        <v>0</v>
      </c>
      <c r="G84" s="223">
        <f>E84*F84</f>
        <v>0</v>
      </c>
      <c r="O84" s="268">
        <v>2</v>
      </c>
      <c r="AA84" s="266">
        <v>8</v>
      </c>
      <c r="AB84" s="266">
        <v>0</v>
      </c>
      <c r="AC84" s="266">
        <v>3</v>
      </c>
      <c r="AZ84" s="266">
        <v>1</v>
      </c>
      <c r="BA84" s="266">
        <f>IF(AZ84=1,G84,0)</f>
        <v>0</v>
      </c>
      <c r="BB84" s="266">
        <f>IF(AZ84=2,G84,0)</f>
        <v>0</v>
      </c>
      <c r="BC84" s="266">
        <f>IF(AZ84=3,G84,0)</f>
        <v>0</v>
      </c>
      <c r="BD84" s="266">
        <f>IF(AZ84=4,G84,0)</f>
        <v>0</v>
      </c>
      <c r="BE84" s="266">
        <f>IF(AZ84=5,G84,0)</f>
        <v>0</v>
      </c>
      <c r="CA84" s="268">
        <v>8</v>
      </c>
      <c r="CB84" s="268">
        <v>0</v>
      </c>
      <c r="CZ84" s="266">
        <v>0</v>
      </c>
    </row>
    <row r="85" spans="1:104" ht="12.75">
      <c r="A85" s="218">
        <v>32</v>
      </c>
      <c r="B85" s="219" t="s">
        <v>276</v>
      </c>
      <c r="C85" s="220" t="s">
        <v>2173</v>
      </c>
      <c r="D85" s="221" t="s">
        <v>166</v>
      </c>
      <c r="E85" s="222">
        <v>-4.29004</v>
      </c>
      <c r="F85" s="222">
        <v>0</v>
      </c>
      <c r="G85" s="223">
        <f>E85*F85</f>
        <v>0</v>
      </c>
      <c r="O85" s="268">
        <v>2</v>
      </c>
      <c r="AA85" s="266">
        <v>8</v>
      </c>
      <c r="AB85" s="266">
        <v>0</v>
      </c>
      <c r="AC85" s="266">
        <v>3</v>
      </c>
      <c r="AZ85" s="266">
        <v>1</v>
      </c>
      <c r="BA85" s="266">
        <f>IF(AZ85=1,G85,0)</f>
        <v>0</v>
      </c>
      <c r="BB85" s="266">
        <f>IF(AZ85=2,G85,0)</f>
        <v>0</v>
      </c>
      <c r="BC85" s="266">
        <f>IF(AZ85=3,G85,0)</f>
        <v>0</v>
      </c>
      <c r="BD85" s="266">
        <f>IF(AZ85=4,G85,0)</f>
        <v>0</v>
      </c>
      <c r="BE85" s="266">
        <f>IF(AZ85=5,G85,0)</f>
        <v>0</v>
      </c>
      <c r="CA85" s="268">
        <v>8</v>
      </c>
      <c r="CB85" s="268">
        <v>0</v>
      </c>
      <c r="CZ85" s="266">
        <v>0</v>
      </c>
    </row>
    <row r="86" spans="1:57" ht="12.75">
      <c r="A86" s="236"/>
      <c r="B86" s="237" t="s">
        <v>175</v>
      </c>
      <c r="C86" s="238" t="str">
        <f>CONCATENATE(B80," ",C80)</f>
        <v>D96 Přesuny suti a vybouraných hmot</v>
      </c>
      <c r="D86" s="239"/>
      <c r="E86" s="240"/>
      <c r="F86" s="241"/>
      <c r="G86" s="242">
        <f>SUM(G80:G85)</f>
        <v>0</v>
      </c>
      <c r="O86" s="268">
        <v>4</v>
      </c>
      <c r="BA86" s="269">
        <f>SUM(BA80:BA85)</f>
        <v>0</v>
      </c>
      <c r="BB86" s="269">
        <f>SUM(BB80:BB85)</f>
        <v>0</v>
      </c>
      <c r="BC86" s="269">
        <f>SUM(BC80:BC85)</f>
        <v>0</v>
      </c>
      <c r="BD86" s="269">
        <f>SUM(BD80:BD85)</f>
        <v>0</v>
      </c>
      <c r="BE86" s="269">
        <f>SUM(BE80:BE85)</f>
        <v>0</v>
      </c>
    </row>
    <row r="87" ht="12.75">
      <c r="E87" s="266"/>
    </row>
    <row r="88" ht="12.75">
      <c r="E88" s="266"/>
    </row>
    <row r="89" ht="12.75">
      <c r="E89" s="266"/>
    </row>
    <row r="90" ht="12.75">
      <c r="E90" s="266"/>
    </row>
    <row r="91" ht="12.75">
      <c r="E91" s="266"/>
    </row>
    <row r="92" ht="12.75">
      <c r="E92" s="266"/>
    </row>
    <row r="93" ht="12.75">
      <c r="E93" s="266"/>
    </row>
    <row r="94" ht="12.75">
      <c r="E94" s="266"/>
    </row>
    <row r="95" ht="12.75">
      <c r="E95" s="266"/>
    </row>
    <row r="96" ht="12.75">
      <c r="E96" s="266"/>
    </row>
    <row r="97" ht="12.75">
      <c r="E97" s="266"/>
    </row>
    <row r="98" ht="12.75">
      <c r="E98" s="266"/>
    </row>
    <row r="99" ht="12.75">
      <c r="E99" s="266"/>
    </row>
    <row r="100" ht="12.75">
      <c r="E100" s="266"/>
    </row>
    <row r="101" ht="12.75">
      <c r="E101" s="266"/>
    </row>
    <row r="102" ht="12.75">
      <c r="E102" s="266"/>
    </row>
    <row r="103" ht="12.75">
      <c r="E103" s="266"/>
    </row>
    <row r="104" ht="12.75">
      <c r="E104" s="266"/>
    </row>
    <row r="105" ht="12.75">
      <c r="E105" s="266"/>
    </row>
    <row r="106" ht="12.75">
      <c r="E106" s="266"/>
    </row>
    <row r="107" ht="12.75">
      <c r="E107" s="266"/>
    </row>
    <row r="108" ht="12.75">
      <c r="E108" s="266"/>
    </row>
    <row r="109" ht="12.75">
      <c r="E109" s="266"/>
    </row>
    <row r="110" spans="1:7" ht="12.75">
      <c r="A110" s="270"/>
      <c r="B110" s="270"/>
      <c r="C110" s="270"/>
      <c r="D110" s="270"/>
      <c r="E110" s="270"/>
      <c r="F110" s="270"/>
      <c r="G110" s="270"/>
    </row>
    <row r="111" spans="1:7" ht="12.75">
      <c r="A111" s="270"/>
      <c r="B111" s="270"/>
      <c r="C111" s="270"/>
      <c r="D111" s="270"/>
      <c r="E111" s="270"/>
      <c r="F111" s="270"/>
      <c r="G111" s="270"/>
    </row>
    <row r="112" spans="1:7" ht="12.75">
      <c r="A112" s="270"/>
      <c r="B112" s="270"/>
      <c r="C112" s="270"/>
      <c r="D112" s="270"/>
      <c r="E112" s="270"/>
      <c r="F112" s="270"/>
      <c r="G112" s="270"/>
    </row>
    <row r="113" spans="1:7" ht="12.75">
      <c r="A113" s="270"/>
      <c r="B113" s="270"/>
      <c r="C113" s="270"/>
      <c r="D113" s="270"/>
      <c r="E113" s="270"/>
      <c r="F113" s="270"/>
      <c r="G113" s="270"/>
    </row>
    <row r="114" ht="12.75">
      <c r="E114" s="266"/>
    </row>
    <row r="115" ht="12.75">
      <c r="E115" s="266"/>
    </row>
    <row r="116" ht="12.75">
      <c r="E116" s="266"/>
    </row>
    <row r="117" ht="12.75">
      <c r="E117" s="266"/>
    </row>
    <row r="118" ht="12.75">
      <c r="E118" s="266"/>
    </row>
    <row r="119" ht="12.75">
      <c r="E119" s="266"/>
    </row>
    <row r="120" ht="12.75">
      <c r="E120" s="266"/>
    </row>
    <row r="121" ht="12.75">
      <c r="E121" s="266"/>
    </row>
    <row r="122" ht="12.75">
      <c r="E122" s="266"/>
    </row>
    <row r="123" ht="12.75">
      <c r="E123" s="266"/>
    </row>
    <row r="124" ht="12.75">
      <c r="E124" s="266"/>
    </row>
    <row r="125" ht="12.75">
      <c r="E125" s="266"/>
    </row>
    <row r="126" ht="12.75">
      <c r="E126" s="266"/>
    </row>
    <row r="127" ht="12.75">
      <c r="E127" s="266"/>
    </row>
    <row r="128" ht="12.75">
      <c r="E128" s="266"/>
    </row>
    <row r="129" ht="12.75">
      <c r="E129" s="266"/>
    </row>
    <row r="130" ht="12.75">
      <c r="E130" s="266"/>
    </row>
    <row r="131" ht="12.75">
      <c r="E131" s="266"/>
    </row>
    <row r="132" ht="12.75">
      <c r="E132" s="266"/>
    </row>
    <row r="133" ht="12.75">
      <c r="E133" s="266"/>
    </row>
    <row r="134" ht="12.75">
      <c r="E134" s="266"/>
    </row>
    <row r="135" ht="12.75">
      <c r="E135" s="266"/>
    </row>
    <row r="136" ht="12.75">
      <c r="E136" s="266"/>
    </row>
    <row r="137" ht="12.75">
      <c r="E137" s="266"/>
    </row>
    <row r="138" ht="12.75">
      <c r="E138" s="266"/>
    </row>
    <row r="139" ht="12.75">
      <c r="E139" s="266"/>
    </row>
    <row r="140" ht="12.75">
      <c r="E140" s="266"/>
    </row>
    <row r="141" ht="12.75">
      <c r="E141" s="266"/>
    </row>
    <row r="142" ht="12.75">
      <c r="E142" s="266"/>
    </row>
    <row r="143" ht="12.75">
      <c r="E143" s="266"/>
    </row>
    <row r="144" ht="12.75">
      <c r="E144" s="266"/>
    </row>
    <row r="145" spans="1:2" ht="12.75">
      <c r="A145" s="271"/>
      <c r="B145" s="271"/>
    </row>
    <row r="146" spans="1:7" ht="12.75">
      <c r="A146" s="270"/>
      <c r="B146" s="270"/>
      <c r="C146" s="273"/>
      <c r="D146" s="273"/>
      <c r="E146" s="274"/>
      <c r="F146" s="273"/>
      <c r="G146" s="275"/>
    </row>
    <row r="147" spans="1:7" ht="12.75">
      <c r="A147" s="276"/>
      <c r="B147" s="276"/>
      <c r="C147" s="270"/>
      <c r="D147" s="270"/>
      <c r="E147" s="277"/>
      <c r="F147" s="270"/>
      <c r="G147" s="270"/>
    </row>
    <row r="148" spans="1:7" ht="12.75">
      <c r="A148" s="270"/>
      <c r="B148" s="270"/>
      <c r="C148" s="270"/>
      <c r="D148" s="270"/>
      <c r="E148" s="277"/>
      <c r="F148" s="270"/>
      <c r="G148" s="270"/>
    </row>
    <row r="149" spans="1:7" ht="12.75">
      <c r="A149" s="270"/>
      <c r="B149" s="270"/>
      <c r="C149" s="270"/>
      <c r="D149" s="270"/>
      <c r="E149" s="277"/>
      <c r="F149" s="270"/>
      <c r="G149" s="270"/>
    </row>
    <row r="150" spans="1:7" ht="12.75">
      <c r="A150" s="270"/>
      <c r="B150" s="270"/>
      <c r="C150" s="270"/>
      <c r="D150" s="270"/>
      <c r="E150" s="277"/>
      <c r="F150" s="270"/>
      <c r="G150" s="270"/>
    </row>
    <row r="151" spans="1:7" ht="12.75">
      <c r="A151" s="270"/>
      <c r="B151" s="270"/>
      <c r="C151" s="270"/>
      <c r="D151" s="270"/>
      <c r="E151" s="277"/>
      <c r="F151" s="270"/>
      <c r="G151" s="270"/>
    </row>
    <row r="152" spans="1:7" ht="12.75">
      <c r="A152" s="270"/>
      <c r="B152" s="270"/>
      <c r="C152" s="270"/>
      <c r="D152" s="270"/>
      <c r="E152" s="277"/>
      <c r="F152" s="270"/>
      <c r="G152" s="270"/>
    </row>
    <row r="153" spans="1:7" ht="12.75">
      <c r="A153" s="270"/>
      <c r="B153" s="270"/>
      <c r="C153" s="270"/>
      <c r="D153" s="270"/>
      <c r="E153" s="277"/>
      <c r="F153" s="270"/>
      <c r="G153" s="270"/>
    </row>
    <row r="154" spans="1:7" ht="12.75">
      <c r="A154" s="270"/>
      <c r="B154" s="270"/>
      <c r="C154" s="270"/>
      <c r="D154" s="270"/>
      <c r="E154" s="277"/>
      <c r="F154" s="270"/>
      <c r="G154" s="270"/>
    </row>
    <row r="155" spans="1:7" ht="12.75">
      <c r="A155" s="270"/>
      <c r="B155" s="270"/>
      <c r="C155" s="270"/>
      <c r="D155" s="270"/>
      <c r="E155" s="277"/>
      <c r="F155" s="270"/>
      <c r="G155" s="270"/>
    </row>
    <row r="156" spans="1:7" ht="12.75">
      <c r="A156" s="270"/>
      <c r="B156" s="270"/>
      <c r="C156" s="270"/>
      <c r="D156" s="270"/>
      <c r="E156" s="277"/>
      <c r="F156" s="270"/>
      <c r="G156" s="270"/>
    </row>
    <row r="157" spans="1:7" ht="12.75">
      <c r="A157" s="270"/>
      <c r="B157" s="270"/>
      <c r="C157" s="270"/>
      <c r="D157" s="270"/>
      <c r="E157" s="277"/>
      <c r="F157" s="270"/>
      <c r="G157" s="270"/>
    </row>
    <row r="158" spans="1:7" ht="12.75">
      <c r="A158" s="270"/>
      <c r="B158" s="270"/>
      <c r="C158" s="270"/>
      <c r="D158" s="270"/>
      <c r="E158" s="277"/>
      <c r="F158" s="270"/>
      <c r="G158" s="270"/>
    </row>
    <row r="159" spans="1:7" ht="12.75">
      <c r="A159" s="270"/>
      <c r="B159" s="270"/>
      <c r="C159" s="270"/>
      <c r="D159" s="270"/>
      <c r="E159" s="277"/>
      <c r="F159" s="270"/>
      <c r="G159" s="270"/>
    </row>
  </sheetData>
  <mergeCells count="38">
    <mergeCell ref="C10:D10"/>
    <mergeCell ref="A1:G1"/>
    <mergeCell ref="A3:B3"/>
    <mergeCell ref="A4:B4"/>
    <mergeCell ref="E4:G4"/>
    <mergeCell ref="C9:D9"/>
    <mergeCell ref="C41:D41"/>
    <mergeCell ref="C15:D15"/>
    <mergeCell ref="C16:D16"/>
    <mergeCell ref="C17:D17"/>
    <mergeCell ref="C19:D19"/>
    <mergeCell ref="C24:D24"/>
    <mergeCell ref="C25:D25"/>
    <mergeCell ref="C26:D26"/>
    <mergeCell ref="C28:D28"/>
    <mergeCell ref="C29:D29"/>
    <mergeCell ref="C36:D36"/>
    <mergeCell ref="C39:D39"/>
    <mergeCell ref="C62:D62"/>
    <mergeCell ref="C42:D42"/>
    <mergeCell ref="C45:D45"/>
    <mergeCell ref="C47:D47"/>
    <mergeCell ref="C49:D49"/>
    <mergeCell ref="C50:D50"/>
    <mergeCell ref="C52:D52"/>
    <mergeCell ref="C54:D54"/>
    <mergeCell ref="C55:D55"/>
    <mergeCell ref="C57:D57"/>
    <mergeCell ref="C58:D58"/>
    <mergeCell ref="C60:D60"/>
    <mergeCell ref="C77:D77"/>
    <mergeCell ref="C78:D78"/>
    <mergeCell ref="C64:D64"/>
    <mergeCell ref="C66:D66"/>
    <mergeCell ref="C68:D68"/>
    <mergeCell ref="C69:D69"/>
    <mergeCell ref="C71:D71"/>
    <mergeCell ref="C76:D7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6"/>
  </sheetPr>
  <dimension ref="A1:BE51"/>
  <sheetViews>
    <sheetView workbookViewId="0" topLeftCell="A1">
      <selection activeCell="M44" sqref="M44"/>
    </sheetView>
  </sheetViews>
  <sheetFormatPr defaultColWidth="9.125" defaultRowHeight="12.75"/>
  <cols>
    <col min="1" max="1" width="2.00390625" style="288" customWidth="1"/>
    <col min="2" max="2" width="15.00390625" style="288" customWidth="1"/>
    <col min="3" max="3" width="15.875" style="288" customWidth="1"/>
    <col min="4" max="4" width="14.50390625" style="288" customWidth="1"/>
    <col min="5" max="5" width="13.50390625" style="288" customWidth="1"/>
    <col min="6" max="6" width="16.50390625" style="288" customWidth="1"/>
    <col min="7" max="7" width="15.375" style="288" customWidth="1"/>
    <col min="8" max="256" width="9.125" style="288" customWidth="1"/>
    <col min="257" max="257" width="2.00390625" style="288" customWidth="1"/>
    <col min="258" max="258" width="15.00390625" style="288" customWidth="1"/>
    <col min="259" max="259" width="15.875" style="288" customWidth="1"/>
    <col min="260" max="260" width="14.50390625" style="288" customWidth="1"/>
    <col min="261" max="261" width="13.50390625" style="288" customWidth="1"/>
    <col min="262" max="262" width="16.50390625" style="288" customWidth="1"/>
    <col min="263" max="263" width="15.375" style="288" customWidth="1"/>
    <col min="264" max="512" width="9.125" style="288" customWidth="1"/>
    <col min="513" max="513" width="2.00390625" style="288" customWidth="1"/>
    <col min="514" max="514" width="15.00390625" style="288" customWidth="1"/>
    <col min="515" max="515" width="15.875" style="288" customWidth="1"/>
    <col min="516" max="516" width="14.50390625" style="288" customWidth="1"/>
    <col min="517" max="517" width="13.50390625" style="288" customWidth="1"/>
    <col min="518" max="518" width="16.50390625" style="288" customWidth="1"/>
    <col min="519" max="519" width="15.375" style="288" customWidth="1"/>
    <col min="520" max="768" width="9.125" style="288" customWidth="1"/>
    <col min="769" max="769" width="2.00390625" style="288" customWidth="1"/>
    <col min="770" max="770" width="15.00390625" style="288" customWidth="1"/>
    <col min="771" max="771" width="15.875" style="288" customWidth="1"/>
    <col min="772" max="772" width="14.50390625" style="288" customWidth="1"/>
    <col min="773" max="773" width="13.50390625" style="288" customWidth="1"/>
    <col min="774" max="774" width="16.50390625" style="288" customWidth="1"/>
    <col min="775" max="775" width="15.375" style="288" customWidth="1"/>
    <col min="776" max="1024" width="9.125" style="288" customWidth="1"/>
    <col min="1025" max="1025" width="2.00390625" style="288" customWidth="1"/>
    <col min="1026" max="1026" width="15.00390625" style="288" customWidth="1"/>
    <col min="1027" max="1027" width="15.875" style="288" customWidth="1"/>
    <col min="1028" max="1028" width="14.50390625" style="288" customWidth="1"/>
    <col min="1029" max="1029" width="13.50390625" style="288" customWidth="1"/>
    <col min="1030" max="1030" width="16.50390625" style="288" customWidth="1"/>
    <col min="1031" max="1031" width="15.375" style="288" customWidth="1"/>
    <col min="1032" max="1280" width="9.125" style="288" customWidth="1"/>
    <col min="1281" max="1281" width="2.00390625" style="288" customWidth="1"/>
    <col min="1282" max="1282" width="15.00390625" style="288" customWidth="1"/>
    <col min="1283" max="1283" width="15.875" style="288" customWidth="1"/>
    <col min="1284" max="1284" width="14.50390625" style="288" customWidth="1"/>
    <col min="1285" max="1285" width="13.50390625" style="288" customWidth="1"/>
    <col min="1286" max="1286" width="16.50390625" style="288" customWidth="1"/>
    <col min="1287" max="1287" width="15.375" style="288" customWidth="1"/>
    <col min="1288" max="1536" width="9.125" style="288" customWidth="1"/>
    <col min="1537" max="1537" width="2.00390625" style="288" customWidth="1"/>
    <col min="1538" max="1538" width="15.00390625" style="288" customWidth="1"/>
    <col min="1539" max="1539" width="15.875" style="288" customWidth="1"/>
    <col min="1540" max="1540" width="14.50390625" style="288" customWidth="1"/>
    <col min="1541" max="1541" width="13.50390625" style="288" customWidth="1"/>
    <col min="1542" max="1542" width="16.50390625" style="288" customWidth="1"/>
    <col min="1543" max="1543" width="15.375" style="288" customWidth="1"/>
    <col min="1544" max="1792" width="9.125" style="288" customWidth="1"/>
    <col min="1793" max="1793" width="2.00390625" style="288" customWidth="1"/>
    <col min="1794" max="1794" width="15.00390625" style="288" customWidth="1"/>
    <col min="1795" max="1795" width="15.875" style="288" customWidth="1"/>
    <col min="1796" max="1796" width="14.50390625" style="288" customWidth="1"/>
    <col min="1797" max="1797" width="13.50390625" style="288" customWidth="1"/>
    <col min="1798" max="1798" width="16.50390625" style="288" customWidth="1"/>
    <col min="1799" max="1799" width="15.375" style="288" customWidth="1"/>
    <col min="1800" max="2048" width="9.125" style="288" customWidth="1"/>
    <col min="2049" max="2049" width="2.00390625" style="288" customWidth="1"/>
    <col min="2050" max="2050" width="15.00390625" style="288" customWidth="1"/>
    <col min="2051" max="2051" width="15.875" style="288" customWidth="1"/>
    <col min="2052" max="2052" width="14.50390625" style="288" customWidth="1"/>
    <col min="2053" max="2053" width="13.50390625" style="288" customWidth="1"/>
    <col min="2054" max="2054" width="16.50390625" style="288" customWidth="1"/>
    <col min="2055" max="2055" width="15.375" style="288" customWidth="1"/>
    <col min="2056" max="2304" width="9.125" style="288" customWidth="1"/>
    <col min="2305" max="2305" width="2.00390625" style="288" customWidth="1"/>
    <col min="2306" max="2306" width="15.00390625" style="288" customWidth="1"/>
    <col min="2307" max="2307" width="15.875" style="288" customWidth="1"/>
    <col min="2308" max="2308" width="14.50390625" style="288" customWidth="1"/>
    <col min="2309" max="2309" width="13.50390625" style="288" customWidth="1"/>
    <col min="2310" max="2310" width="16.50390625" style="288" customWidth="1"/>
    <col min="2311" max="2311" width="15.375" style="288" customWidth="1"/>
    <col min="2312" max="2560" width="9.125" style="288" customWidth="1"/>
    <col min="2561" max="2561" width="2.00390625" style="288" customWidth="1"/>
    <col min="2562" max="2562" width="15.00390625" style="288" customWidth="1"/>
    <col min="2563" max="2563" width="15.875" style="288" customWidth="1"/>
    <col min="2564" max="2564" width="14.50390625" style="288" customWidth="1"/>
    <col min="2565" max="2565" width="13.50390625" style="288" customWidth="1"/>
    <col min="2566" max="2566" width="16.50390625" style="288" customWidth="1"/>
    <col min="2567" max="2567" width="15.375" style="288" customWidth="1"/>
    <col min="2568" max="2816" width="9.125" style="288" customWidth="1"/>
    <col min="2817" max="2817" width="2.00390625" style="288" customWidth="1"/>
    <col min="2818" max="2818" width="15.00390625" style="288" customWidth="1"/>
    <col min="2819" max="2819" width="15.875" style="288" customWidth="1"/>
    <col min="2820" max="2820" width="14.50390625" style="288" customWidth="1"/>
    <col min="2821" max="2821" width="13.50390625" style="288" customWidth="1"/>
    <col min="2822" max="2822" width="16.50390625" style="288" customWidth="1"/>
    <col min="2823" max="2823" width="15.375" style="288" customWidth="1"/>
    <col min="2824" max="3072" width="9.125" style="288" customWidth="1"/>
    <col min="3073" max="3073" width="2.00390625" style="288" customWidth="1"/>
    <col min="3074" max="3074" width="15.00390625" style="288" customWidth="1"/>
    <col min="3075" max="3075" width="15.875" style="288" customWidth="1"/>
    <col min="3076" max="3076" width="14.50390625" style="288" customWidth="1"/>
    <col min="3077" max="3077" width="13.50390625" style="288" customWidth="1"/>
    <col min="3078" max="3078" width="16.50390625" style="288" customWidth="1"/>
    <col min="3079" max="3079" width="15.375" style="288" customWidth="1"/>
    <col min="3080" max="3328" width="9.125" style="288" customWidth="1"/>
    <col min="3329" max="3329" width="2.00390625" style="288" customWidth="1"/>
    <col min="3330" max="3330" width="15.00390625" style="288" customWidth="1"/>
    <col min="3331" max="3331" width="15.875" style="288" customWidth="1"/>
    <col min="3332" max="3332" width="14.50390625" style="288" customWidth="1"/>
    <col min="3333" max="3333" width="13.50390625" style="288" customWidth="1"/>
    <col min="3334" max="3334" width="16.50390625" style="288" customWidth="1"/>
    <col min="3335" max="3335" width="15.375" style="288" customWidth="1"/>
    <col min="3336" max="3584" width="9.125" style="288" customWidth="1"/>
    <col min="3585" max="3585" width="2.00390625" style="288" customWidth="1"/>
    <col min="3586" max="3586" width="15.00390625" style="288" customWidth="1"/>
    <col min="3587" max="3587" width="15.875" style="288" customWidth="1"/>
    <col min="3588" max="3588" width="14.50390625" style="288" customWidth="1"/>
    <col min="3589" max="3589" width="13.50390625" style="288" customWidth="1"/>
    <col min="3590" max="3590" width="16.50390625" style="288" customWidth="1"/>
    <col min="3591" max="3591" width="15.375" style="288" customWidth="1"/>
    <col min="3592" max="3840" width="9.125" style="288" customWidth="1"/>
    <col min="3841" max="3841" width="2.00390625" style="288" customWidth="1"/>
    <col min="3842" max="3842" width="15.00390625" style="288" customWidth="1"/>
    <col min="3843" max="3843" width="15.875" style="288" customWidth="1"/>
    <col min="3844" max="3844" width="14.50390625" style="288" customWidth="1"/>
    <col min="3845" max="3845" width="13.50390625" style="288" customWidth="1"/>
    <col min="3846" max="3846" width="16.50390625" style="288" customWidth="1"/>
    <col min="3847" max="3847" width="15.375" style="288" customWidth="1"/>
    <col min="3848" max="4096" width="9.125" style="288" customWidth="1"/>
    <col min="4097" max="4097" width="2.00390625" style="288" customWidth="1"/>
    <col min="4098" max="4098" width="15.00390625" style="288" customWidth="1"/>
    <col min="4099" max="4099" width="15.875" style="288" customWidth="1"/>
    <col min="4100" max="4100" width="14.50390625" style="288" customWidth="1"/>
    <col min="4101" max="4101" width="13.50390625" style="288" customWidth="1"/>
    <col min="4102" max="4102" width="16.50390625" style="288" customWidth="1"/>
    <col min="4103" max="4103" width="15.375" style="288" customWidth="1"/>
    <col min="4104" max="4352" width="9.125" style="288" customWidth="1"/>
    <col min="4353" max="4353" width="2.00390625" style="288" customWidth="1"/>
    <col min="4354" max="4354" width="15.00390625" style="288" customWidth="1"/>
    <col min="4355" max="4355" width="15.875" style="288" customWidth="1"/>
    <col min="4356" max="4356" width="14.50390625" style="288" customWidth="1"/>
    <col min="4357" max="4357" width="13.50390625" style="288" customWidth="1"/>
    <col min="4358" max="4358" width="16.50390625" style="288" customWidth="1"/>
    <col min="4359" max="4359" width="15.375" style="288" customWidth="1"/>
    <col min="4360" max="4608" width="9.125" style="288" customWidth="1"/>
    <col min="4609" max="4609" width="2.00390625" style="288" customWidth="1"/>
    <col min="4610" max="4610" width="15.00390625" style="288" customWidth="1"/>
    <col min="4611" max="4611" width="15.875" style="288" customWidth="1"/>
    <col min="4612" max="4612" width="14.50390625" style="288" customWidth="1"/>
    <col min="4613" max="4613" width="13.50390625" style="288" customWidth="1"/>
    <col min="4614" max="4614" width="16.50390625" style="288" customWidth="1"/>
    <col min="4615" max="4615" width="15.375" style="288" customWidth="1"/>
    <col min="4616" max="4864" width="9.125" style="288" customWidth="1"/>
    <col min="4865" max="4865" width="2.00390625" style="288" customWidth="1"/>
    <col min="4866" max="4866" width="15.00390625" style="288" customWidth="1"/>
    <col min="4867" max="4867" width="15.875" style="288" customWidth="1"/>
    <col min="4868" max="4868" width="14.50390625" style="288" customWidth="1"/>
    <col min="4869" max="4869" width="13.50390625" style="288" customWidth="1"/>
    <col min="4870" max="4870" width="16.50390625" style="288" customWidth="1"/>
    <col min="4871" max="4871" width="15.375" style="288" customWidth="1"/>
    <col min="4872" max="5120" width="9.125" style="288" customWidth="1"/>
    <col min="5121" max="5121" width="2.00390625" style="288" customWidth="1"/>
    <col min="5122" max="5122" width="15.00390625" style="288" customWidth="1"/>
    <col min="5123" max="5123" width="15.875" style="288" customWidth="1"/>
    <col min="5124" max="5124" width="14.50390625" style="288" customWidth="1"/>
    <col min="5125" max="5125" width="13.50390625" style="288" customWidth="1"/>
    <col min="5126" max="5126" width="16.50390625" style="288" customWidth="1"/>
    <col min="5127" max="5127" width="15.375" style="288" customWidth="1"/>
    <col min="5128" max="5376" width="9.125" style="288" customWidth="1"/>
    <col min="5377" max="5377" width="2.00390625" style="288" customWidth="1"/>
    <col min="5378" max="5378" width="15.00390625" style="288" customWidth="1"/>
    <col min="5379" max="5379" width="15.875" style="288" customWidth="1"/>
    <col min="5380" max="5380" width="14.50390625" style="288" customWidth="1"/>
    <col min="5381" max="5381" width="13.50390625" style="288" customWidth="1"/>
    <col min="5382" max="5382" width="16.50390625" style="288" customWidth="1"/>
    <col min="5383" max="5383" width="15.375" style="288" customWidth="1"/>
    <col min="5384" max="5632" width="9.125" style="288" customWidth="1"/>
    <col min="5633" max="5633" width="2.00390625" style="288" customWidth="1"/>
    <col min="5634" max="5634" width="15.00390625" style="288" customWidth="1"/>
    <col min="5635" max="5635" width="15.875" style="288" customWidth="1"/>
    <col min="5636" max="5636" width="14.50390625" style="288" customWidth="1"/>
    <col min="5637" max="5637" width="13.50390625" style="288" customWidth="1"/>
    <col min="5638" max="5638" width="16.50390625" style="288" customWidth="1"/>
    <col min="5639" max="5639" width="15.375" style="288" customWidth="1"/>
    <col min="5640" max="5888" width="9.125" style="288" customWidth="1"/>
    <col min="5889" max="5889" width="2.00390625" style="288" customWidth="1"/>
    <col min="5890" max="5890" width="15.00390625" style="288" customWidth="1"/>
    <col min="5891" max="5891" width="15.875" style="288" customWidth="1"/>
    <col min="5892" max="5892" width="14.50390625" style="288" customWidth="1"/>
    <col min="5893" max="5893" width="13.50390625" style="288" customWidth="1"/>
    <col min="5894" max="5894" width="16.50390625" style="288" customWidth="1"/>
    <col min="5895" max="5895" width="15.375" style="288" customWidth="1"/>
    <col min="5896" max="6144" width="9.125" style="288" customWidth="1"/>
    <col min="6145" max="6145" width="2.00390625" style="288" customWidth="1"/>
    <col min="6146" max="6146" width="15.00390625" style="288" customWidth="1"/>
    <col min="6147" max="6147" width="15.875" style="288" customWidth="1"/>
    <col min="6148" max="6148" width="14.50390625" style="288" customWidth="1"/>
    <col min="6149" max="6149" width="13.50390625" style="288" customWidth="1"/>
    <col min="6150" max="6150" width="16.50390625" style="288" customWidth="1"/>
    <col min="6151" max="6151" width="15.375" style="288" customWidth="1"/>
    <col min="6152" max="6400" width="9.125" style="288" customWidth="1"/>
    <col min="6401" max="6401" width="2.00390625" style="288" customWidth="1"/>
    <col min="6402" max="6402" width="15.00390625" style="288" customWidth="1"/>
    <col min="6403" max="6403" width="15.875" style="288" customWidth="1"/>
    <col min="6404" max="6404" width="14.50390625" style="288" customWidth="1"/>
    <col min="6405" max="6405" width="13.50390625" style="288" customWidth="1"/>
    <col min="6406" max="6406" width="16.50390625" style="288" customWidth="1"/>
    <col min="6407" max="6407" width="15.375" style="288" customWidth="1"/>
    <col min="6408" max="6656" width="9.125" style="288" customWidth="1"/>
    <col min="6657" max="6657" width="2.00390625" style="288" customWidth="1"/>
    <col min="6658" max="6658" width="15.00390625" style="288" customWidth="1"/>
    <col min="6659" max="6659" width="15.875" style="288" customWidth="1"/>
    <col min="6660" max="6660" width="14.50390625" style="288" customWidth="1"/>
    <col min="6661" max="6661" width="13.50390625" style="288" customWidth="1"/>
    <col min="6662" max="6662" width="16.50390625" style="288" customWidth="1"/>
    <col min="6663" max="6663" width="15.375" style="288" customWidth="1"/>
    <col min="6664" max="6912" width="9.125" style="288" customWidth="1"/>
    <col min="6913" max="6913" width="2.00390625" style="288" customWidth="1"/>
    <col min="6914" max="6914" width="15.00390625" style="288" customWidth="1"/>
    <col min="6915" max="6915" width="15.875" style="288" customWidth="1"/>
    <col min="6916" max="6916" width="14.50390625" style="288" customWidth="1"/>
    <col min="6917" max="6917" width="13.50390625" style="288" customWidth="1"/>
    <col min="6918" max="6918" width="16.50390625" style="288" customWidth="1"/>
    <col min="6919" max="6919" width="15.375" style="288" customWidth="1"/>
    <col min="6920" max="7168" width="9.125" style="288" customWidth="1"/>
    <col min="7169" max="7169" width="2.00390625" style="288" customWidth="1"/>
    <col min="7170" max="7170" width="15.00390625" style="288" customWidth="1"/>
    <col min="7171" max="7171" width="15.875" style="288" customWidth="1"/>
    <col min="7172" max="7172" width="14.50390625" style="288" customWidth="1"/>
    <col min="7173" max="7173" width="13.50390625" style="288" customWidth="1"/>
    <col min="7174" max="7174" width="16.50390625" style="288" customWidth="1"/>
    <col min="7175" max="7175" width="15.375" style="288" customWidth="1"/>
    <col min="7176" max="7424" width="9.125" style="288" customWidth="1"/>
    <col min="7425" max="7425" width="2.00390625" style="288" customWidth="1"/>
    <col min="7426" max="7426" width="15.00390625" style="288" customWidth="1"/>
    <col min="7427" max="7427" width="15.875" style="288" customWidth="1"/>
    <col min="7428" max="7428" width="14.50390625" style="288" customWidth="1"/>
    <col min="7429" max="7429" width="13.50390625" style="288" customWidth="1"/>
    <col min="7430" max="7430" width="16.50390625" style="288" customWidth="1"/>
    <col min="7431" max="7431" width="15.375" style="288" customWidth="1"/>
    <col min="7432" max="7680" width="9.125" style="288" customWidth="1"/>
    <col min="7681" max="7681" width="2.00390625" style="288" customWidth="1"/>
    <col min="7682" max="7682" width="15.00390625" style="288" customWidth="1"/>
    <col min="7683" max="7683" width="15.875" style="288" customWidth="1"/>
    <col min="7684" max="7684" width="14.50390625" style="288" customWidth="1"/>
    <col min="7685" max="7685" width="13.50390625" style="288" customWidth="1"/>
    <col min="7686" max="7686" width="16.50390625" style="288" customWidth="1"/>
    <col min="7687" max="7687" width="15.375" style="288" customWidth="1"/>
    <col min="7688" max="7936" width="9.125" style="288" customWidth="1"/>
    <col min="7937" max="7937" width="2.00390625" style="288" customWidth="1"/>
    <col min="7938" max="7938" width="15.00390625" style="288" customWidth="1"/>
    <col min="7939" max="7939" width="15.875" style="288" customWidth="1"/>
    <col min="7940" max="7940" width="14.50390625" style="288" customWidth="1"/>
    <col min="7941" max="7941" width="13.50390625" style="288" customWidth="1"/>
    <col min="7942" max="7942" width="16.50390625" style="288" customWidth="1"/>
    <col min="7943" max="7943" width="15.375" style="288" customWidth="1"/>
    <col min="7944" max="8192" width="9.125" style="288" customWidth="1"/>
    <col min="8193" max="8193" width="2.00390625" style="288" customWidth="1"/>
    <col min="8194" max="8194" width="15.00390625" style="288" customWidth="1"/>
    <col min="8195" max="8195" width="15.875" style="288" customWidth="1"/>
    <col min="8196" max="8196" width="14.50390625" style="288" customWidth="1"/>
    <col min="8197" max="8197" width="13.50390625" style="288" customWidth="1"/>
    <col min="8198" max="8198" width="16.50390625" style="288" customWidth="1"/>
    <col min="8199" max="8199" width="15.375" style="288" customWidth="1"/>
    <col min="8200" max="8448" width="9.125" style="288" customWidth="1"/>
    <col min="8449" max="8449" width="2.00390625" style="288" customWidth="1"/>
    <col min="8450" max="8450" width="15.00390625" style="288" customWidth="1"/>
    <col min="8451" max="8451" width="15.875" style="288" customWidth="1"/>
    <col min="8452" max="8452" width="14.50390625" style="288" customWidth="1"/>
    <col min="8453" max="8453" width="13.50390625" style="288" customWidth="1"/>
    <col min="8454" max="8454" width="16.50390625" style="288" customWidth="1"/>
    <col min="8455" max="8455" width="15.375" style="288" customWidth="1"/>
    <col min="8456" max="8704" width="9.125" style="288" customWidth="1"/>
    <col min="8705" max="8705" width="2.00390625" style="288" customWidth="1"/>
    <col min="8706" max="8706" width="15.00390625" style="288" customWidth="1"/>
    <col min="8707" max="8707" width="15.875" style="288" customWidth="1"/>
    <col min="8708" max="8708" width="14.50390625" style="288" customWidth="1"/>
    <col min="8709" max="8709" width="13.50390625" style="288" customWidth="1"/>
    <col min="8710" max="8710" width="16.50390625" style="288" customWidth="1"/>
    <col min="8711" max="8711" width="15.375" style="288" customWidth="1"/>
    <col min="8712" max="8960" width="9.125" style="288" customWidth="1"/>
    <col min="8961" max="8961" width="2.00390625" style="288" customWidth="1"/>
    <col min="8962" max="8962" width="15.00390625" style="288" customWidth="1"/>
    <col min="8963" max="8963" width="15.875" style="288" customWidth="1"/>
    <col min="8964" max="8964" width="14.50390625" style="288" customWidth="1"/>
    <col min="8965" max="8965" width="13.50390625" style="288" customWidth="1"/>
    <col min="8966" max="8966" width="16.50390625" style="288" customWidth="1"/>
    <col min="8967" max="8967" width="15.375" style="288" customWidth="1"/>
    <col min="8968" max="9216" width="9.125" style="288" customWidth="1"/>
    <col min="9217" max="9217" width="2.00390625" style="288" customWidth="1"/>
    <col min="9218" max="9218" width="15.00390625" style="288" customWidth="1"/>
    <col min="9219" max="9219" width="15.875" style="288" customWidth="1"/>
    <col min="9220" max="9220" width="14.50390625" style="288" customWidth="1"/>
    <col min="9221" max="9221" width="13.50390625" style="288" customWidth="1"/>
    <col min="9222" max="9222" width="16.50390625" style="288" customWidth="1"/>
    <col min="9223" max="9223" width="15.375" style="288" customWidth="1"/>
    <col min="9224" max="9472" width="9.125" style="288" customWidth="1"/>
    <col min="9473" max="9473" width="2.00390625" style="288" customWidth="1"/>
    <col min="9474" max="9474" width="15.00390625" style="288" customWidth="1"/>
    <col min="9475" max="9475" width="15.875" style="288" customWidth="1"/>
    <col min="9476" max="9476" width="14.50390625" style="288" customWidth="1"/>
    <col min="9477" max="9477" width="13.50390625" style="288" customWidth="1"/>
    <col min="9478" max="9478" width="16.50390625" style="288" customWidth="1"/>
    <col min="9479" max="9479" width="15.375" style="288" customWidth="1"/>
    <col min="9480" max="9728" width="9.125" style="288" customWidth="1"/>
    <col min="9729" max="9729" width="2.00390625" style="288" customWidth="1"/>
    <col min="9730" max="9730" width="15.00390625" style="288" customWidth="1"/>
    <col min="9731" max="9731" width="15.875" style="288" customWidth="1"/>
    <col min="9732" max="9732" width="14.50390625" style="288" customWidth="1"/>
    <col min="9733" max="9733" width="13.50390625" style="288" customWidth="1"/>
    <col min="9734" max="9734" width="16.50390625" style="288" customWidth="1"/>
    <col min="9735" max="9735" width="15.375" style="288" customWidth="1"/>
    <col min="9736" max="9984" width="9.125" style="288" customWidth="1"/>
    <col min="9985" max="9985" width="2.00390625" style="288" customWidth="1"/>
    <col min="9986" max="9986" width="15.00390625" style="288" customWidth="1"/>
    <col min="9987" max="9987" width="15.875" style="288" customWidth="1"/>
    <col min="9988" max="9988" width="14.50390625" style="288" customWidth="1"/>
    <col min="9989" max="9989" width="13.50390625" style="288" customWidth="1"/>
    <col min="9990" max="9990" width="16.50390625" style="288" customWidth="1"/>
    <col min="9991" max="9991" width="15.375" style="288" customWidth="1"/>
    <col min="9992" max="10240" width="9.125" style="288" customWidth="1"/>
    <col min="10241" max="10241" width="2.00390625" style="288" customWidth="1"/>
    <col min="10242" max="10242" width="15.00390625" style="288" customWidth="1"/>
    <col min="10243" max="10243" width="15.875" style="288" customWidth="1"/>
    <col min="10244" max="10244" width="14.50390625" style="288" customWidth="1"/>
    <col min="10245" max="10245" width="13.50390625" style="288" customWidth="1"/>
    <col min="10246" max="10246" width="16.50390625" style="288" customWidth="1"/>
    <col min="10247" max="10247" width="15.375" style="288" customWidth="1"/>
    <col min="10248" max="10496" width="9.125" style="288" customWidth="1"/>
    <col min="10497" max="10497" width="2.00390625" style="288" customWidth="1"/>
    <col min="10498" max="10498" width="15.00390625" style="288" customWidth="1"/>
    <col min="10499" max="10499" width="15.875" style="288" customWidth="1"/>
    <col min="10500" max="10500" width="14.50390625" style="288" customWidth="1"/>
    <col min="10501" max="10501" width="13.50390625" style="288" customWidth="1"/>
    <col min="10502" max="10502" width="16.50390625" style="288" customWidth="1"/>
    <col min="10503" max="10503" width="15.375" style="288" customWidth="1"/>
    <col min="10504" max="10752" width="9.125" style="288" customWidth="1"/>
    <col min="10753" max="10753" width="2.00390625" style="288" customWidth="1"/>
    <col min="10754" max="10754" width="15.00390625" style="288" customWidth="1"/>
    <col min="10755" max="10755" width="15.875" style="288" customWidth="1"/>
    <col min="10756" max="10756" width="14.50390625" style="288" customWidth="1"/>
    <col min="10757" max="10757" width="13.50390625" style="288" customWidth="1"/>
    <col min="10758" max="10758" width="16.50390625" style="288" customWidth="1"/>
    <col min="10759" max="10759" width="15.375" style="288" customWidth="1"/>
    <col min="10760" max="11008" width="9.125" style="288" customWidth="1"/>
    <col min="11009" max="11009" width="2.00390625" style="288" customWidth="1"/>
    <col min="11010" max="11010" width="15.00390625" style="288" customWidth="1"/>
    <col min="11011" max="11011" width="15.875" style="288" customWidth="1"/>
    <col min="11012" max="11012" width="14.50390625" style="288" customWidth="1"/>
    <col min="11013" max="11013" width="13.50390625" style="288" customWidth="1"/>
    <col min="11014" max="11014" width="16.50390625" style="288" customWidth="1"/>
    <col min="11015" max="11015" width="15.375" style="288" customWidth="1"/>
    <col min="11016" max="11264" width="9.125" style="288" customWidth="1"/>
    <col min="11265" max="11265" width="2.00390625" style="288" customWidth="1"/>
    <col min="11266" max="11266" width="15.00390625" style="288" customWidth="1"/>
    <col min="11267" max="11267" width="15.875" style="288" customWidth="1"/>
    <col min="11268" max="11268" width="14.50390625" style="288" customWidth="1"/>
    <col min="11269" max="11269" width="13.50390625" style="288" customWidth="1"/>
    <col min="11270" max="11270" width="16.50390625" style="288" customWidth="1"/>
    <col min="11271" max="11271" width="15.375" style="288" customWidth="1"/>
    <col min="11272" max="11520" width="9.125" style="288" customWidth="1"/>
    <col min="11521" max="11521" width="2.00390625" style="288" customWidth="1"/>
    <col min="11522" max="11522" width="15.00390625" style="288" customWidth="1"/>
    <col min="11523" max="11523" width="15.875" style="288" customWidth="1"/>
    <col min="11524" max="11524" width="14.50390625" style="288" customWidth="1"/>
    <col min="11525" max="11525" width="13.50390625" style="288" customWidth="1"/>
    <col min="11526" max="11526" width="16.50390625" style="288" customWidth="1"/>
    <col min="11527" max="11527" width="15.375" style="288" customWidth="1"/>
    <col min="11528" max="11776" width="9.125" style="288" customWidth="1"/>
    <col min="11777" max="11777" width="2.00390625" style="288" customWidth="1"/>
    <col min="11778" max="11778" width="15.00390625" style="288" customWidth="1"/>
    <col min="11779" max="11779" width="15.875" style="288" customWidth="1"/>
    <col min="11780" max="11780" width="14.50390625" style="288" customWidth="1"/>
    <col min="11781" max="11781" width="13.50390625" style="288" customWidth="1"/>
    <col min="11782" max="11782" width="16.50390625" style="288" customWidth="1"/>
    <col min="11783" max="11783" width="15.375" style="288" customWidth="1"/>
    <col min="11784" max="12032" width="9.125" style="288" customWidth="1"/>
    <col min="12033" max="12033" width="2.00390625" style="288" customWidth="1"/>
    <col min="12034" max="12034" width="15.00390625" style="288" customWidth="1"/>
    <col min="12035" max="12035" width="15.875" style="288" customWidth="1"/>
    <col min="12036" max="12036" width="14.50390625" style="288" customWidth="1"/>
    <col min="12037" max="12037" width="13.50390625" style="288" customWidth="1"/>
    <col min="12038" max="12038" width="16.50390625" style="288" customWidth="1"/>
    <col min="12039" max="12039" width="15.375" style="288" customWidth="1"/>
    <col min="12040" max="12288" width="9.125" style="288" customWidth="1"/>
    <col min="12289" max="12289" width="2.00390625" style="288" customWidth="1"/>
    <col min="12290" max="12290" width="15.00390625" style="288" customWidth="1"/>
    <col min="12291" max="12291" width="15.875" style="288" customWidth="1"/>
    <col min="12292" max="12292" width="14.50390625" style="288" customWidth="1"/>
    <col min="12293" max="12293" width="13.50390625" style="288" customWidth="1"/>
    <col min="12294" max="12294" width="16.50390625" style="288" customWidth="1"/>
    <col min="12295" max="12295" width="15.375" style="288" customWidth="1"/>
    <col min="12296" max="12544" width="9.125" style="288" customWidth="1"/>
    <col min="12545" max="12545" width="2.00390625" style="288" customWidth="1"/>
    <col min="12546" max="12546" width="15.00390625" style="288" customWidth="1"/>
    <col min="12547" max="12547" width="15.875" style="288" customWidth="1"/>
    <col min="12548" max="12548" width="14.50390625" style="288" customWidth="1"/>
    <col min="12549" max="12549" width="13.50390625" style="288" customWidth="1"/>
    <col min="12550" max="12550" width="16.50390625" style="288" customWidth="1"/>
    <col min="12551" max="12551" width="15.375" style="288" customWidth="1"/>
    <col min="12552" max="12800" width="9.125" style="288" customWidth="1"/>
    <col min="12801" max="12801" width="2.00390625" style="288" customWidth="1"/>
    <col min="12802" max="12802" width="15.00390625" style="288" customWidth="1"/>
    <col min="12803" max="12803" width="15.875" style="288" customWidth="1"/>
    <col min="12804" max="12804" width="14.50390625" style="288" customWidth="1"/>
    <col min="12805" max="12805" width="13.50390625" style="288" customWidth="1"/>
    <col min="12806" max="12806" width="16.50390625" style="288" customWidth="1"/>
    <col min="12807" max="12807" width="15.375" style="288" customWidth="1"/>
    <col min="12808" max="13056" width="9.125" style="288" customWidth="1"/>
    <col min="13057" max="13057" width="2.00390625" style="288" customWidth="1"/>
    <col min="13058" max="13058" width="15.00390625" style="288" customWidth="1"/>
    <col min="13059" max="13059" width="15.875" style="288" customWidth="1"/>
    <col min="13060" max="13060" width="14.50390625" style="288" customWidth="1"/>
    <col min="13061" max="13061" width="13.50390625" style="288" customWidth="1"/>
    <col min="13062" max="13062" width="16.50390625" style="288" customWidth="1"/>
    <col min="13063" max="13063" width="15.375" style="288" customWidth="1"/>
    <col min="13064" max="13312" width="9.125" style="288" customWidth="1"/>
    <col min="13313" max="13313" width="2.00390625" style="288" customWidth="1"/>
    <col min="13314" max="13314" width="15.00390625" style="288" customWidth="1"/>
    <col min="13315" max="13315" width="15.875" style="288" customWidth="1"/>
    <col min="13316" max="13316" width="14.50390625" style="288" customWidth="1"/>
    <col min="13317" max="13317" width="13.50390625" style="288" customWidth="1"/>
    <col min="13318" max="13318" width="16.50390625" style="288" customWidth="1"/>
    <col min="13319" max="13319" width="15.375" style="288" customWidth="1"/>
    <col min="13320" max="13568" width="9.125" style="288" customWidth="1"/>
    <col min="13569" max="13569" width="2.00390625" style="288" customWidth="1"/>
    <col min="13570" max="13570" width="15.00390625" style="288" customWidth="1"/>
    <col min="13571" max="13571" width="15.875" style="288" customWidth="1"/>
    <col min="13572" max="13572" width="14.50390625" style="288" customWidth="1"/>
    <col min="13573" max="13573" width="13.50390625" style="288" customWidth="1"/>
    <col min="13574" max="13574" width="16.50390625" style="288" customWidth="1"/>
    <col min="13575" max="13575" width="15.375" style="288" customWidth="1"/>
    <col min="13576" max="13824" width="9.125" style="288" customWidth="1"/>
    <col min="13825" max="13825" width="2.00390625" style="288" customWidth="1"/>
    <col min="13826" max="13826" width="15.00390625" style="288" customWidth="1"/>
    <col min="13827" max="13827" width="15.875" style="288" customWidth="1"/>
    <col min="13828" max="13828" width="14.50390625" style="288" customWidth="1"/>
    <col min="13829" max="13829" width="13.50390625" style="288" customWidth="1"/>
    <col min="13830" max="13830" width="16.50390625" style="288" customWidth="1"/>
    <col min="13831" max="13831" width="15.375" style="288" customWidth="1"/>
    <col min="13832" max="14080" width="9.125" style="288" customWidth="1"/>
    <col min="14081" max="14081" width="2.00390625" style="288" customWidth="1"/>
    <col min="14082" max="14082" width="15.00390625" style="288" customWidth="1"/>
    <col min="14083" max="14083" width="15.875" style="288" customWidth="1"/>
    <col min="14084" max="14084" width="14.50390625" style="288" customWidth="1"/>
    <col min="14085" max="14085" width="13.50390625" style="288" customWidth="1"/>
    <col min="14086" max="14086" width="16.50390625" style="288" customWidth="1"/>
    <col min="14087" max="14087" width="15.375" style="288" customWidth="1"/>
    <col min="14088" max="14336" width="9.125" style="288" customWidth="1"/>
    <col min="14337" max="14337" width="2.00390625" style="288" customWidth="1"/>
    <col min="14338" max="14338" width="15.00390625" style="288" customWidth="1"/>
    <col min="14339" max="14339" width="15.875" style="288" customWidth="1"/>
    <col min="14340" max="14340" width="14.50390625" style="288" customWidth="1"/>
    <col min="14341" max="14341" width="13.50390625" style="288" customWidth="1"/>
    <col min="14342" max="14342" width="16.50390625" style="288" customWidth="1"/>
    <col min="14343" max="14343" width="15.375" style="288" customWidth="1"/>
    <col min="14344" max="14592" width="9.125" style="288" customWidth="1"/>
    <col min="14593" max="14593" width="2.00390625" style="288" customWidth="1"/>
    <col min="14594" max="14594" width="15.00390625" style="288" customWidth="1"/>
    <col min="14595" max="14595" width="15.875" style="288" customWidth="1"/>
    <col min="14596" max="14596" width="14.50390625" style="288" customWidth="1"/>
    <col min="14597" max="14597" width="13.50390625" style="288" customWidth="1"/>
    <col min="14598" max="14598" width="16.50390625" style="288" customWidth="1"/>
    <col min="14599" max="14599" width="15.375" style="288" customWidth="1"/>
    <col min="14600" max="14848" width="9.125" style="288" customWidth="1"/>
    <col min="14849" max="14849" width="2.00390625" style="288" customWidth="1"/>
    <col min="14850" max="14850" width="15.00390625" style="288" customWidth="1"/>
    <col min="14851" max="14851" width="15.875" style="288" customWidth="1"/>
    <col min="14852" max="14852" width="14.50390625" style="288" customWidth="1"/>
    <col min="14853" max="14853" width="13.50390625" style="288" customWidth="1"/>
    <col min="14854" max="14854" width="16.50390625" style="288" customWidth="1"/>
    <col min="14855" max="14855" width="15.375" style="288" customWidth="1"/>
    <col min="14856" max="15104" width="9.125" style="288" customWidth="1"/>
    <col min="15105" max="15105" width="2.00390625" style="288" customWidth="1"/>
    <col min="15106" max="15106" width="15.00390625" style="288" customWidth="1"/>
    <col min="15107" max="15107" width="15.875" style="288" customWidth="1"/>
    <col min="15108" max="15108" width="14.50390625" style="288" customWidth="1"/>
    <col min="15109" max="15109" width="13.50390625" style="288" customWidth="1"/>
    <col min="15110" max="15110" width="16.50390625" style="288" customWidth="1"/>
    <col min="15111" max="15111" width="15.375" style="288" customWidth="1"/>
    <col min="15112" max="15360" width="9.125" style="288" customWidth="1"/>
    <col min="15361" max="15361" width="2.00390625" style="288" customWidth="1"/>
    <col min="15362" max="15362" width="15.00390625" style="288" customWidth="1"/>
    <col min="15363" max="15363" width="15.875" style="288" customWidth="1"/>
    <col min="15364" max="15364" width="14.50390625" style="288" customWidth="1"/>
    <col min="15365" max="15365" width="13.50390625" style="288" customWidth="1"/>
    <col min="15366" max="15366" width="16.50390625" style="288" customWidth="1"/>
    <col min="15367" max="15367" width="15.375" style="288" customWidth="1"/>
    <col min="15368" max="15616" width="9.125" style="288" customWidth="1"/>
    <col min="15617" max="15617" width="2.00390625" style="288" customWidth="1"/>
    <col min="15618" max="15618" width="15.00390625" style="288" customWidth="1"/>
    <col min="15619" max="15619" width="15.875" style="288" customWidth="1"/>
    <col min="15620" max="15620" width="14.50390625" style="288" customWidth="1"/>
    <col min="15621" max="15621" width="13.50390625" style="288" customWidth="1"/>
    <col min="15622" max="15622" width="16.50390625" style="288" customWidth="1"/>
    <col min="15623" max="15623" width="15.375" style="288" customWidth="1"/>
    <col min="15624" max="15872" width="9.125" style="288" customWidth="1"/>
    <col min="15873" max="15873" width="2.00390625" style="288" customWidth="1"/>
    <col min="15874" max="15874" width="15.00390625" style="288" customWidth="1"/>
    <col min="15875" max="15875" width="15.875" style="288" customWidth="1"/>
    <col min="15876" max="15876" width="14.50390625" style="288" customWidth="1"/>
    <col min="15877" max="15877" width="13.50390625" style="288" customWidth="1"/>
    <col min="15878" max="15878" width="16.50390625" style="288" customWidth="1"/>
    <col min="15879" max="15879" width="15.375" style="288" customWidth="1"/>
    <col min="15880" max="16128" width="9.125" style="288" customWidth="1"/>
    <col min="16129" max="16129" width="2.00390625" style="288" customWidth="1"/>
    <col min="16130" max="16130" width="15.00390625" style="288" customWidth="1"/>
    <col min="16131" max="16131" width="15.875" style="288" customWidth="1"/>
    <col min="16132" max="16132" width="14.50390625" style="288" customWidth="1"/>
    <col min="16133" max="16133" width="13.50390625" style="288" customWidth="1"/>
    <col min="16134" max="16134" width="16.50390625" style="288" customWidth="1"/>
    <col min="16135" max="16135" width="15.375" style="288" customWidth="1"/>
    <col min="16136" max="16384" width="9.125" style="288" customWidth="1"/>
  </cols>
  <sheetData>
    <row r="1" spans="1:7" ht="24.75" customHeight="1" thickBot="1">
      <c r="A1" s="286" t="s">
        <v>126</v>
      </c>
      <c r="B1" s="287"/>
      <c r="C1" s="287"/>
      <c r="D1" s="287"/>
      <c r="E1" s="287"/>
      <c r="F1" s="287"/>
      <c r="G1" s="287"/>
    </row>
    <row r="2" spans="1:7" ht="12.75" customHeight="1">
      <c r="A2" s="289" t="s">
        <v>125</v>
      </c>
      <c r="B2" s="290"/>
      <c r="C2" s="291" t="s">
        <v>80</v>
      </c>
      <c r="D2" s="291" t="s">
        <v>77</v>
      </c>
      <c r="E2" s="292"/>
      <c r="F2" s="293" t="s">
        <v>124</v>
      </c>
      <c r="G2" s="294"/>
    </row>
    <row r="3" spans="1:7" ht="3" customHeight="1" hidden="1">
      <c r="A3" s="295"/>
      <c r="B3" s="296"/>
      <c r="C3" s="297"/>
      <c r="D3" s="297"/>
      <c r="E3" s="298"/>
      <c r="F3" s="299"/>
      <c r="G3" s="300"/>
    </row>
    <row r="4" spans="1:7" ht="12" customHeight="1">
      <c r="A4" s="301" t="s">
        <v>123</v>
      </c>
      <c r="B4" s="296"/>
      <c r="C4" s="297"/>
      <c r="D4" s="297"/>
      <c r="E4" s="298"/>
      <c r="F4" s="299" t="s">
        <v>122</v>
      </c>
      <c r="G4" s="302"/>
    </row>
    <row r="5" spans="1:7" ht="12.9" customHeight="1">
      <c r="A5" s="303" t="s">
        <v>24</v>
      </c>
      <c r="B5" s="304"/>
      <c r="C5" s="305" t="s">
        <v>25</v>
      </c>
      <c r="D5" s="306"/>
      <c r="E5" s="304"/>
      <c r="F5" s="299" t="s">
        <v>121</v>
      </c>
      <c r="G5" s="300"/>
    </row>
    <row r="6" spans="1:15" ht="12.9" customHeight="1">
      <c r="A6" s="301" t="s">
        <v>120</v>
      </c>
      <c r="B6" s="296"/>
      <c r="C6" s="297"/>
      <c r="D6" s="297"/>
      <c r="E6" s="298"/>
      <c r="F6" s="307" t="s">
        <v>119</v>
      </c>
      <c r="G6" s="308">
        <v>0</v>
      </c>
      <c r="O6" s="309"/>
    </row>
    <row r="7" spans="1:7" ht="12.9" customHeight="1">
      <c r="A7" s="310" t="s">
        <v>12</v>
      </c>
      <c r="B7" s="311"/>
      <c r="C7" s="312" t="s">
        <v>13</v>
      </c>
      <c r="D7" s="313"/>
      <c r="E7" s="313"/>
      <c r="F7" s="314" t="s">
        <v>118</v>
      </c>
      <c r="G7" s="308">
        <f>IF(G6=0,,ROUND((F30+F32)/G6,1))</f>
        <v>0</v>
      </c>
    </row>
    <row r="8" spans="1:9" ht="12.75">
      <c r="A8" s="315" t="s">
        <v>117</v>
      </c>
      <c r="B8" s="299"/>
      <c r="C8" s="1603"/>
      <c r="D8" s="1603"/>
      <c r="E8" s="1604"/>
      <c r="F8" s="316" t="s">
        <v>116</v>
      </c>
      <c r="G8" s="317"/>
      <c r="H8" s="318"/>
      <c r="I8" s="319"/>
    </row>
    <row r="9" spans="1:8" ht="12.75">
      <c r="A9" s="315" t="s">
        <v>115</v>
      </c>
      <c r="B9" s="299"/>
      <c r="C9" s="1603"/>
      <c r="D9" s="1603"/>
      <c r="E9" s="1604"/>
      <c r="F9" s="299"/>
      <c r="G9" s="320"/>
      <c r="H9" s="321"/>
    </row>
    <row r="10" spans="1:8" ht="12.75">
      <c r="A10" s="315" t="s">
        <v>114</v>
      </c>
      <c r="B10" s="299"/>
      <c r="C10" s="1603"/>
      <c r="D10" s="1603"/>
      <c r="E10" s="1603"/>
      <c r="F10" s="322"/>
      <c r="G10" s="323"/>
      <c r="H10" s="324"/>
    </row>
    <row r="11" spans="1:57" ht="13.5" customHeight="1">
      <c r="A11" s="315" t="s">
        <v>113</v>
      </c>
      <c r="B11" s="299"/>
      <c r="C11" s="1603"/>
      <c r="D11" s="1603"/>
      <c r="E11" s="1603"/>
      <c r="F11" s="325" t="s">
        <v>112</v>
      </c>
      <c r="G11" s="326"/>
      <c r="H11" s="321"/>
      <c r="BA11" s="327"/>
      <c r="BB11" s="327"/>
      <c r="BC11" s="327"/>
      <c r="BD11" s="327"/>
      <c r="BE11" s="327"/>
    </row>
    <row r="12" spans="1:8" ht="12.75" customHeight="1">
      <c r="A12" s="328" t="s">
        <v>111</v>
      </c>
      <c r="B12" s="296"/>
      <c r="C12" s="1605"/>
      <c r="D12" s="1605"/>
      <c r="E12" s="1605"/>
      <c r="F12" s="329" t="s">
        <v>110</v>
      </c>
      <c r="G12" s="330"/>
      <c r="H12" s="321"/>
    </row>
    <row r="13" spans="1:8" ht="28.5" customHeight="1" thickBot="1">
      <c r="A13" s="331" t="s">
        <v>109</v>
      </c>
      <c r="B13" s="332"/>
      <c r="C13" s="332"/>
      <c r="D13" s="332"/>
      <c r="E13" s="333"/>
      <c r="F13" s="333"/>
      <c r="G13" s="334"/>
      <c r="H13" s="321"/>
    </row>
    <row r="14" spans="1:7" ht="17.25" customHeight="1" thickBot="1">
      <c r="A14" s="335" t="s">
        <v>108</v>
      </c>
      <c r="B14" s="336"/>
      <c r="C14" s="337"/>
      <c r="D14" s="338" t="s">
        <v>107</v>
      </c>
      <c r="E14" s="339"/>
      <c r="F14" s="339"/>
      <c r="G14" s="337"/>
    </row>
    <row r="15" spans="1:7" ht="15.9" customHeight="1">
      <c r="A15" s="340"/>
      <c r="B15" s="341" t="s">
        <v>106</v>
      </c>
      <c r="C15" s="342">
        <f>'r11bR'!E22</f>
        <v>0</v>
      </c>
      <c r="D15" s="343" t="str">
        <f>'r11bR'!A27</f>
        <v>Ztížené výrobní podmínky</v>
      </c>
      <c r="E15" s="344"/>
      <c r="F15" s="345"/>
      <c r="G15" s="342">
        <f>'r11bR'!I27</f>
        <v>0</v>
      </c>
    </row>
    <row r="16" spans="1:7" ht="15.9" customHeight="1">
      <c r="A16" s="340" t="s">
        <v>105</v>
      </c>
      <c r="B16" s="341" t="s">
        <v>104</v>
      </c>
      <c r="C16" s="342">
        <f>'r11bR'!F22</f>
        <v>0</v>
      </c>
      <c r="D16" s="295" t="str">
        <f>'r11bR'!A28</f>
        <v>Oborová přirážka</v>
      </c>
      <c r="E16" s="346"/>
      <c r="F16" s="347"/>
      <c r="G16" s="342">
        <f>'r11bR'!I28</f>
        <v>0</v>
      </c>
    </row>
    <row r="17" spans="1:7" ht="15.9" customHeight="1">
      <c r="A17" s="340" t="s">
        <v>103</v>
      </c>
      <c r="B17" s="341" t="s">
        <v>102</v>
      </c>
      <c r="C17" s="342">
        <f>'r11bR'!H22</f>
        <v>0</v>
      </c>
      <c r="D17" s="295" t="str">
        <f>'r11bR'!A29</f>
        <v>Přesun stavebních kapacit</v>
      </c>
      <c r="E17" s="346"/>
      <c r="F17" s="347"/>
      <c r="G17" s="342">
        <f>'r11bR'!I29</f>
        <v>0</v>
      </c>
    </row>
    <row r="18" spans="1:7" ht="15.9" customHeight="1">
      <c r="A18" s="348" t="s">
        <v>101</v>
      </c>
      <c r="B18" s="349" t="s">
        <v>100</v>
      </c>
      <c r="C18" s="342">
        <f>'r11bR'!G22</f>
        <v>0</v>
      </c>
      <c r="D18" s="295" t="str">
        <f>'r11bR'!A30</f>
        <v>Mimostaveništní doprava</v>
      </c>
      <c r="E18" s="346"/>
      <c r="F18" s="347"/>
      <c r="G18" s="342">
        <f>'r11bR'!I30</f>
        <v>0</v>
      </c>
    </row>
    <row r="19" spans="1:7" ht="15.9" customHeight="1">
      <c r="A19" s="350" t="s">
        <v>99</v>
      </c>
      <c r="B19" s="341"/>
      <c r="C19" s="342">
        <f>SUM(C15:C18)</f>
        <v>0</v>
      </c>
      <c r="D19" s="295" t="str">
        <f>'r11bR'!A31</f>
        <v>Zařízení staveniště</v>
      </c>
      <c r="E19" s="346"/>
      <c r="F19" s="347"/>
      <c r="G19" s="342">
        <f>'r11bR'!I31</f>
        <v>0</v>
      </c>
    </row>
    <row r="20" spans="1:7" ht="15.9" customHeight="1">
      <c r="A20" s="350"/>
      <c r="B20" s="341"/>
      <c r="C20" s="342"/>
      <c r="D20" s="295" t="str">
        <f>'r11bR'!A32</f>
        <v>Provoz investora</v>
      </c>
      <c r="E20" s="346"/>
      <c r="F20" s="347"/>
      <c r="G20" s="342">
        <f>'r11bR'!I32</f>
        <v>0</v>
      </c>
    </row>
    <row r="21" spans="1:7" ht="15.9" customHeight="1">
      <c r="A21" s="350" t="s">
        <v>70</v>
      </c>
      <c r="B21" s="341"/>
      <c r="C21" s="342">
        <f>'r11bR'!I22</f>
        <v>0</v>
      </c>
      <c r="D21" s="295" t="str">
        <f>'r11bR'!A33</f>
        <v>Kompletační činnost (IČD)</v>
      </c>
      <c r="E21" s="346"/>
      <c r="F21" s="347"/>
      <c r="G21" s="342">
        <f>'r11bR'!I33</f>
        <v>0</v>
      </c>
    </row>
    <row r="22" spans="1:7" ht="15.9" customHeight="1">
      <c r="A22" s="351" t="s">
        <v>98</v>
      </c>
      <c r="B22" s="321"/>
      <c r="C22" s="342">
        <f>C19+C21</f>
        <v>0</v>
      </c>
      <c r="D22" s="295" t="s">
        <v>97</v>
      </c>
      <c r="E22" s="346"/>
      <c r="F22" s="347"/>
      <c r="G22" s="342">
        <f>G23-SUM(G15:G21)</f>
        <v>0</v>
      </c>
    </row>
    <row r="23" spans="1:7" ht="15.9" customHeight="1" thickBot="1">
      <c r="A23" s="1601" t="s">
        <v>96</v>
      </c>
      <c r="B23" s="1602"/>
      <c r="C23" s="352">
        <f>C22+G23</f>
        <v>0</v>
      </c>
      <c r="D23" s="353" t="s">
        <v>95</v>
      </c>
      <c r="E23" s="354"/>
      <c r="F23" s="355"/>
      <c r="G23" s="342">
        <f>'r11bR'!H35</f>
        <v>0</v>
      </c>
    </row>
    <row r="24" spans="1:7" ht="12.75">
      <c r="A24" s="356" t="s">
        <v>94</v>
      </c>
      <c r="B24" s="357"/>
      <c r="C24" s="358"/>
      <c r="D24" s="357" t="s">
        <v>93</v>
      </c>
      <c r="E24" s="357"/>
      <c r="F24" s="359" t="s">
        <v>92</v>
      </c>
      <c r="G24" s="360"/>
    </row>
    <row r="25" spans="1:7" ht="12.75">
      <c r="A25" s="351" t="s">
        <v>91</v>
      </c>
      <c r="B25" s="321"/>
      <c r="C25" s="361"/>
      <c r="D25" s="321" t="s">
        <v>91</v>
      </c>
      <c r="F25" s="362" t="s">
        <v>91</v>
      </c>
      <c r="G25" s="363"/>
    </row>
    <row r="26" spans="1:7" ht="37.5" customHeight="1">
      <c r="A26" s="351" t="s">
        <v>90</v>
      </c>
      <c r="B26" s="364"/>
      <c r="C26" s="361"/>
      <c r="D26" s="321" t="s">
        <v>90</v>
      </c>
      <c r="F26" s="362" t="s">
        <v>90</v>
      </c>
      <c r="G26" s="363"/>
    </row>
    <row r="27" spans="1:7" ht="12.75">
      <c r="A27" s="351"/>
      <c r="B27" s="365"/>
      <c r="C27" s="361"/>
      <c r="D27" s="321"/>
      <c r="F27" s="362"/>
      <c r="G27" s="363"/>
    </row>
    <row r="28" spans="1:7" ht="12.75">
      <c r="A28" s="351" t="s">
        <v>89</v>
      </c>
      <c r="B28" s="321"/>
      <c r="C28" s="361"/>
      <c r="D28" s="362" t="s">
        <v>88</v>
      </c>
      <c r="E28" s="361"/>
      <c r="F28" s="366" t="s">
        <v>88</v>
      </c>
      <c r="G28" s="363"/>
    </row>
    <row r="29" spans="1:7" ht="69" customHeight="1">
      <c r="A29" s="351"/>
      <c r="B29" s="321"/>
      <c r="C29" s="367"/>
      <c r="D29" s="368"/>
      <c r="E29" s="367"/>
      <c r="F29" s="321"/>
      <c r="G29" s="363"/>
    </row>
    <row r="30" spans="1:7" ht="12.75">
      <c r="A30" s="369" t="s">
        <v>8</v>
      </c>
      <c r="B30" s="370"/>
      <c r="C30" s="371">
        <v>21</v>
      </c>
      <c r="D30" s="370" t="s">
        <v>87</v>
      </c>
      <c r="E30" s="372"/>
      <c r="F30" s="1607">
        <f>C23-F32</f>
        <v>0</v>
      </c>
      <c r="G30" s="1608"/>
    </row>
    <row r="31" spans="1:7" ht="12.75">
      <c r="A31" s="369" t="s">
        <v>86</v>
      </c>
      <c r="B31" s="370"/>
      <c r="C31" s="371">
        <f>C30</f>
        <v>21</v>
      </c>
      <c r="D31" s="370" t="s">
        <v>85</v>
      </c>
      <c r="E31" s="372"/>
      <c r="F31" s="1607">
        <f>ROUND(PRODUCT(F30,C31/100),0)</f>
        <v>0</v>
      </c>
      <c r="G31" s="1608"/>
    </row>
    <row r="32" spans="1:7" ht="12.75">
      <c r="A32" s="369" t="s">
        <v>8</v>
      </c>
      <c r="B32" s="370"/>
      <c r="C32" s="371">
        <v>0</v>
      </c>
      <c r="D32" s="370" t="s">
        <v>85</v>
      </c>
      <c r="E32" s="372"/>
      <c r="F32" s="1607">
        <v>0</v>
      </c>
      <c r="G32" s="1608"/>
    </row>
    <row r="33" spans="1:7" ht="12.75">
      <c r="A33" s="369" t="s">
        <v>86</v>
      </c>
      <c r="B33" s="373"/>
      <c r="C33" s="374">
        <f>C32</f>
        <v>0</v>
      </c>
      <c r="D33" s="370" t="s">
        <v>85</v>
      </c>
      <c r="E33" s="347"/>
      <c r="F33" s="1607">
        <f>ROUND(PRODUCT(F32,C33/100),0)</f>
        <v>0</v>
      </c>
      <c r="G33" s="1608"/>
    </row>
    <row r="34" spans="1:7" s="378" customFormat="1" ht="19.5" customHeight="1" thickBot="1">
      <c r="A34" s="375" t="s">
        <v>84</v>
      </c>
      <c r="B34" s="376"/>
      <c r="C34" s="376"/>
      <c r="D34" s="376"/>
      <c r="E34" s="377"/>
      <c r="F34" s="1609">
        <f>ROUND(SUM(F30:F33),0)</f>
        <v>0</v>
      </c>
      <c r="G34" s="1610"/>
    </row>
    <row r="36" spans="1:8" ht="12.75">
      <c r="A36" s="379" t="s">
        <v>83</v>
      </c>
      <c r="B36" s="379"/>
      <c r="C36" s="379"/>
      <c r="D36" s="379"/>
      <c r="E36" s="379"/>
      <c r="F36" s="379"/>
      <c r="G36" s="379"/>
      <c r="H36" s="288" t="s">
        <v>1</v>
      </c>
    </row>
    <row r="37" spans="1:8" ht="14.25" customHeight="1">
      <c r="A37" s="379"/>
      <c r="B37" s="1611"/>
      <c r="C37" s="1611"/>
      <c r="D37" s="1611"/>
      <c r="E37" s="1611"/>
      <c r="F37" s="1611"/>
      <c r="G37" s="1611"/>
      <c r="H37" s="288" t="s">
        <v>1</v>
      </c>
    </row>
    <row r="38" spans="1:8" ht="12.75" customHeight="1">
      <c r="A38" s="380"/>
      <c r="B38" s="1611"/>
      <c r="C38" s="1611"/>
      <c r="D38" s="1611"/>
      <c r="E38" s="1611"/>
      <c r="F38" s="1611"/>
      <c r="G38" s="1611"/>
      <c r="H38" s="288" t="s">
        <v>1</v>
      </c>
    </row>
    <row r="39" spans="1:8" ht="12.75">
      <c r="A39" s="380"/>
      <c r="B39" s="1611"/>
      <c r="C39" s="1611"/>
      <c r="D39" s="1611"/>
      <c r="E39" s="1611"/>
      <c r="F39" s="1611"/>
      <c r="G39" s="1611"/>
      <c r="H39" s="288" t="s">
        <v>1</v>
      </c>
    </row>
    <row r="40" spans="1:8" ht="12.75">
      <c r="A40" s="380"/>
      <c r="B40" s="1611"/>
      <c r="C40" s="1611"/>
      <c r="D40" s="1611"/>
      <c r="E40" s="1611"/>
      <c r="F40" s="1611"/>
      <c r="G40" s="1611"/>
      <c r="H40" s="288" t="s">
        <v>1</v>
      </c>
    </row>
    <row r="41" spans="1:8" ht="12.75">
      <c r="A41" s="380"/>
      <c r="B41" s="1611"/>
      <c r="C41" s="1611"/>
      <c r="D41" s="1611"/>
      <c r="E41" s="1611"/>
      <c r="F41" s="1611"/>
      <c r="G41" s="1611"/>
      <c r="H41" s="288" t="s">
        <v>1</v>
      </c>
    </row>
    <row r="42" spans="1:8" ht="12.75">
      <c r="A42" s="380"/>
      <c r="B42" s="1611"/>
      <c r="C42" s="1611"/>
      <c r="D42" s="1611"/>
      <c r="E42" s="1611"/>
      <c r="F42" s="1611"/>
      <c r="G42" s="1611"/>
      <c r="H42" s="288" t="s">
        <v>1</v>
      </c>
    </row>
    <row r="43" spans="1:8" ht="12.75">
      <c r="A43" s="380"/>
      <c r="B43" s="1611"/>
      <c r="C43" s="1611"/>
      <c r="D43" s="1611"/>
      <c r="E43" s="1611"/>
      <c r="F43" s="1611"/>
      <c r="G43" s="1611"/>
      <c r="H43" s="288" t="s">
        <v>1</v>
      </c>
    </row>
    <row r="44" spans="1:8" ht="12.75" customHeight="1">
      <c r="A44" s="380"/>
      <c r="B44" s="1611"/>
      <c r="C44" s="1611"/>
      <c r="D44" s="1611"/>
      <c r="E44" s="1611"/>
      <c r="F44" s="1611"/>
      <c r="G44" s="1611"/>
      <c r="H44" s="288" t="s">
        <v>1</v>
      </c>
    </row>
    <row r="45" spans="1:8" ht="12.75" customHeight="1">
      <c r="A45" s="380"/>
      <c r="B45" s="1611"/>
      <c r="C45" s="1611"/>
      <c r="D45" s="1611"/>
      <c r="E45" s="1611"/>
      <c r="F45" s="1611"/>
      <c r="G45" s="1611"/>
      <c r="H45" s="288" t="s">
        <v>1</v>
      </c>
    </row>
    <row r="46" spans="2:7" ht="12.75">
      <c r="B46" s="1606"/>
      <c r="C46" s="1606"/>
      <c r="D46" s="1606"/>
      <c r="E46" s="1606"/>
      <c r="F46" s="1606"/>
      <c r="G46" s="1606"/>
    </row>
    <row r="47" spans="2:7" ht="12.75">
      <c r="B47" s="1606"/>
      <c r="C47" s="1606"/>
      <c r="D47" s="1606"/>
      <c r="E47" s="1606"/>
      <c r="F47" s="1606"/>
      <c r="G47" s="1606"/>
    </row>
    <row r="48" spans="2:7" ht="12.75">
      <c r="B48" s="1606"/>
      <c r="C48" s="1606"/>
      <c r="D48" s="1606"/>
      <c r="E48" s="1606"/>
      <c r="F48" s="1606"/>
      <c r="G48" s="1606"/>
    </row>
    <row r="49" spans="2:7" ht="12.75">
      <c r="B49" s="1606"/>
      <c r="C49" s="1606"/>
      <c r="D49" s="1606"/>
      <c r="E49" s="1606"/>
      <c r="F49" s="1606"/>
      <c r="G49" s="1606"/>
    </row>
    <row r="50" spans="2:7" ht="12.75">
      <c r="B50" s="1606"/>
      <c r="C50" s="1606"/>
      <c r="D50" s="1606"/>
      <c r="E50" s="1606"/>
      <c r="F50" s="1606"/>
      <c r="G50" s="1606"/>
    </row>
    <row r="51" spans="2:7" ht="12.75">
      <c r="B51" s="1606"/>
      <c r="C51" s="1606"/>
      <c r="D51" s="1606"/>
      <c r="E51" s="1606"/>
      <c r="F51" s="1606"/>
      <c r="G51" s="16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6"/>
  </sheetPr>
  <dimension ref="A1:BE86"/>
  <sheetViews>
    <sheetView workbookViewId="0" topLeftCell="A1">
      <selection activeCell="G36" sqref="G36"/>
    </sheetView>
  </sheetViews>
  <sheetFormatPr defaultColWidth="9.125" defaultRowHeight="12.75"/>
  <cols>
    <col min="1" max="1" width="5.875" style="288" customWidth="1"/>
    <col min="2" max="2" width="6.125" style="288" customWidth="1"/>
    <col min="3" max="3" width="11.50390625" style="288" customWidth="1"/>
    <col min="4" max="4" width="15.875" style="288" customWidth="1"/>
    <col min="5" max="5" width="11.375" style="288" customWidth="1"/>
    <col min="6" max="6" width="10.875" style="288" customWidth="1"/>
    <col min="7" max="7" width="11.00390625" style="288" customWidth="1"/>
    <col min="8" max="8" width="11.125" style="288" customWidth="1"/>
    <col min="9" max="9" width="10.625" style="288" customWidth="1"/>
    <col min="10" max="256" width="9.125" style="288" customWidth="1"/>
    <col min="257" max="257" width="5.875" style="288" customWidth="1"/>
    <col min="258" max="258" width="6.125" style="288" customWidth="1"/>
    <col min="259" max="259" width="11.50390625" style="288" customWidth="1"/>
    <col min="260" max="260" width="15.875" style="288" customWidth="1"/>
    <col min="261" max="261" width="11.375" style="288" customWidth="1"/>
    <col min="262" max="262" width="10.875" style="288" customWidth="1"/>
    <col min="263" max="263" width="11.00390625" style="288" customWidth="1"/>
    <col min="264" max="264" width="11.125" style="288" customWidth="1"/>
    <col min="265" max="265" width="10.625" style="288" customWidth="1"/>
    <col min="266" max="512" width="9.125" style="288" customWidth="1"/>
    <col min="513" max="513" width="5.875" style="288" customWidth="1"/>
    <col min="514" max="514" width="6.125" style="288" customWidth="1"/>
    <col min="515" max="515" width="11.50390625" style="288" customWidth="1"/>
    <col min="516" max="516" width="15.875" style="288" customWidth="1"/>
    <col min="517" max="517" width="11.375" style="288" customWidth="1"/>
    <col min="518" max="518" width="10.875" style="288" customWidth="1"/>
    <col min="519" max="519" width="11.00390625" style="288" customWidth="1"/>
    <col min="520" max="520" width="11.125" style="288" customWidth="1"/>
    <col min="521" max="521" width="10.625" style="288" customWidth="1"/>
    <col min="522" max="768" width="9.125" style="288" customWidth="1"/>
    <col min="769" max="769" width="5.875" style="288" customWidth="1"/>
    <col min="770" max="770" width="6.125" style="288" customWidth="1"/>
    <col min="771" max="771" width="11.50390625" style="288" customWidth="1"/>
    <col min="772" max="772" width="15.875" style="288" customWidth="1"/>
    <col min="773" max="773" width="11.375" style="288" customWidth="1"/>
    <col min="774" max="774" width="10.875" style="288" customWidth="1"/>
    <col min="775" max="775" width="11.00390625" style="288" customWidth="1"/>
    <col min="776" max="776" width="11.125" style="288" customWidth="1"/>
    <col min="777" max="777" width="10.625" style="288" customWidth="1"/>
    <col min="778" max="1024" width="9.125" style="288" customWidth="1"/>
    <col min="1025" max="1025" width="5.875" style="288" customWidth="1"/>
    <col min="1026" max="1026" width="6.125" style="288" customWidth="1"/>
    <col min="1027" max="1027" width="11.50390625" style="288" customWidth="1"/>
    <col min="1028" max="1028" width="15.875" style="288" customWidth="1"/>
    <col min="1029" max="1029" width="11.375" style="288" customWidth="1"/>
    <col min="1030" max="1030" width="10.875" style="288" customWidth="1"/>
    <col min="1031" max="1031" width="11.00390625" style="288" customWidth="1"/>
    <col min="1032" max="1032" width="11.125" style="288" customWidth="1"/>
    <col min="1033" max="1033" width="10.625" style="288" customWidth="1"/>
    <col min="1034" max="1280" width="9.125" style="288" customWidth="1"/>
    <col min="1281" max="1281" width="5.875" style="288" customWidth="1"/>
    <col min="1282" max="1282" width="6.125" style="288" customWidth="1"/>
    <col min="1283" max="1283" width="11.50390625" style="288" customWidth="1"/>
    <col min="1284" max="1284" width="15.875" style="288" customWidth="1"/>
    <col min="1285" max="1285" width="11.375" style="288" customWidth="1"/>
    <col min="1286" max="1286" width="10.875" style="288" customWidth="1"/>
    <col min="1287" max="1287" width="11.00390625" style="288" customWidth="1"/>
    <col min="1288" max="1288" width="11.125" style="288" customWidth="1"/>
    <col min="1289" max="1289" width="10.625" style="288" customWidth="1"/>
    <col min="1290" max="1536" width="9.125" style="288" customWidth="1"/>
    <col min="1537" max="1537" width="5.875" style="288" customWidth="1"/>
    <col min="1538" max="1538" width="6.125" style="288" customWidth="1"/>
    <col min="1539" max="1539" width="11.50390625" style="288" customWidth="1"/>
    <col min="1540" max="1540" width="15.875" style="288" customWidth="1"/>
    <col min="1541" max="1541" width="11.375" style="288" customWidth="1"/>
    <col min="1542" max="1542" width="10.875" style="288" customWidth="1"/>
    <col min="1543" max="1543" width="11.00390625" style="288" customWidth="1"/>
    <col min="1544" max="1544" width="11.125" style="288" customWidth="1"/>
    <col min="1545" max="1545" width="10.625" style="288" customWidth="1"/>
    <col min="1546" max="1792" width="9.125" style="288" customWidth="1"/>
    <col min="1793" max="1793" width="5.875" style="288" customWidth="1"/>
    <col min="1794" max="1794" width="6.125" style="288" customWidth="1"/>
    <col min="1795" max="1795" width="11.50390625" style="288" customWidth="1"/>
    <col min="1796" max="1796" width="15.875" style="288" customWidth="1"/>
    <col min="1797" max="1797" width="11.375" style="288" customWidth="1"/>
    <col min="1798" max="1798" width="10.875" style="288" customWidth="1"/>
    <col min="1799" max="1799" width="11.00390625" style="288" customWidth="1"/>
    <col min="1800" max="1800" width="11.125" style="288" customWidth="1"/>
    <col min="1801" max="1801" width="10.625" style="288" customWidth="1"/>
    <col min="1802" max="2048" width="9.125" style="288" customWidth="1"/>
    <col min="2049" max="2049" width="5.875" style="288" customWidth="1"/>
    <col min="2050" max="2050" width="6.125" style="288" customWidth="1"/>
    <col min="2051" max="2051" width="11.50390625" style="288" customWidth="1"/>
    <col min="2052" max="2052" width="15.875" style="288" customWidth="1"/>
    <col min="2053" max="2053" width="11.375" style="288" customWidth="1"/>
    <col min="2054" max="2054" width="10.875" style="288" customWidth="1"/>
    <col min="2055" max="2055" width="11.00390625" style="288" customWidth="1"/>
    <col min="2056" max="2056" width="11.125" style="288" customWidth="1"/>
    <col min="2057" max="2057" width="10.625" style="288" customWidth="1"/>
    <col min="2058" max="2304" width="9.125" style="288" customWidth="1"/>
    <col min="2305" max="2305" width="5.875" style="288" customWidth="1"/>
    <col min="2306" max="2306" width="6.125" style="288" customWidth="1"/>
    <col min="2307" max="2307" width="11.50390625" style="288" customWidth="1"/>
    <col min="2308" max="2308" width="15.875" style="288" customWidth="1"/>
    <col min="2309" max="2309" width="11.375" style="288" customWidth="1"/>
    <col min="2310" max="2310" width="10.875" style="288" customWidth="1"/>
    <col min="2311" max="2311" width="11.00390625" style="288" customWidth="1"/>
    <col min="2312" max="2312" width="11.125" style="288" customWidth="1"/>
    <col min="2313" max="2313" width="10.625" style="288" customWidth="1"/>
    <col min="2314" max="2560" width="9.125" style="288" customWidth="1"/>
    <col min="2561" max="2561" width="5.875" style="288" customWidth="1"/>
    <col min="2562" max="2562" width="6.125" style="288" customWidth="1"/>
    <col min="2563" max="2563" width="11.50390625" style="288" customWidth="1"/>
    <col min="2564" max="2564" width="15.875" style="288" customWidth="1"/>
    <col min="2565" max="2565" width="11.375" style="288" customWidth="1"/>
    <col min="2566" max="2566" width="10.875" style="288" customWidth="1"/>
    <col min="2567" max="2567" width="11.00390625" style="288" customWidth="1"/>
    <col min="2568" max="2568" width="11.125" style="288" customWidth="1"/>
    <col min="2569" max="2569" width="10.625" style="288" customWidth="1"/>
    <col min="2570" max="2816" width="9.125" style="288" customWidth="1"/>
    <col min="2817" max="2817" width="5.875" style="288" customWidth="1"/>
    <col min="2818" max="2818" width="6.125" style="288" customWidth="1"/>
    <col min="2819" max="2819" width="11.50390625" style="288" customWidth="1"/>
    <col min="2820" max="2820" width="15.875" style="288" customWidth="1"/>
    <col min="2821" max="2821" width="11.375" style="288" customWidth="1"/>
    <col min="2822" max="2822" width="10.875" style="288" customWidth="1"/>
    <col min="2823" max="2823" width="11.00390625" style="288" customWidth="1"/>
    <col min="2824" max="2824" width="11.125" style="288" customWidth="1"/>
    <col min="2825" max="2825" width="10.625" style="288" customWidth="1"/>
    <col min="2826" max="3072" width="9.125" style="288" customWidth="1"/>
    <col min="3073" max="3073" width="5.875" style="288" customWidth="1"/>
    <col min="3074" max="3074" width="6.125" style="288" customWidth="1"/>
    <col min="3075" max="3075" width="11.50390625" style="288" customWidth="1"/>
    <col min="3076" max="3076" width="15.875" style="288" customWidth="1"/>
    <col min="3077" max="3077" width="11.375" style="288" customWidth="1"/>
    <col min="3078" max="3078" width="10.875" style="288" customWidth="1"/>
    <col min="3079" max="3079" width="11.00390625" style="288" customWidth="1"/>
    <col min="3080" max="3080" width="11.125" style="288" customWidth="1"/>
    <col min="3081" max="3081" width="10.625" style="288" customWidth="1"/>
    <col min="3082" max="3328" width="9.125" style="288" customWidth="1"/>
    <col min="3329" max="3329" width="5.875" style="288" customWidth="1"/>
    <col min="3330" max="3330" width="6.125" style="288" customWidth="1"/>
    <col min="3331" max="3331" width="11.50390625" style="288" customWidth="1"/>
    <col min="3332" max="3332" width="15.875" style="288" customWidth="1"/>
    <col min="3333" max="3333" width="11.375" style="288" customWidth="1"/>
    <col min="3334" max="3334" width="10.875" style="288" customWidth="1"/>
    <col min="3335" max="3335" width="11.00390625" style="288" customWidth="1"/>
    <col min="3336" max="3336" width="11.125" style="288" customWidth="1"/>
    <col min="3337" max="3337" width="10.625" style="288" customWidth="1"/>
    <col min="3338" max="3584" width="9.125" style="288" customWidth="1"/>
    <col min="3585" max="3585" width="5.875" style="288" customWidth="1"/>
    <col min="3586" max="3586" width="6.125" style="288" customWidth="1"/>
    <col min="3587" max="3587" width="11.50390625" style="288" customWidth="1"/>
    <col min="3588" max="3588" width="15.875" style="288" customWidth="1"/>
    <col min="3589" max="3589" width="11.375" style="288" customWidth="1"/>
    <col min="3590" max="3590" width="10.875" style="288" customWidth="1"/>
    <col min="3591" max="3591" width="11.00390625" style="288" customWidth="1"/>
    <col min="3592" max="3592" width="11.125" style="288" customWidth="1"/>
    <col min="3593" max="3593" width="10.625" style="288" customWidth="1"/>
    <col min="3594" max="3840" width="9.125" style="288" customWidth="1"/>
    <col min="3841" max="3841" width="5.875" style="288" customWidth="1"/>
    <col min="3842" max="3842" width="6.125" style="288" customWidth="1"/>
    <col min="3843" max="3843" width="11.50390625" style="288" customWidth="1"/>
    <col min="3844" max="3844" width="15.875" style="288" customWidth="1"/>
    <col min="3845" max="3845" width="11.375" style="288" customWidth="1"/>
    <col min="3846" max="3846" width="10.875" style="288" customWidth="1"/>
    <col min="3847" max="3847" width="11.00390625" style="288" customWidth="1"/>
    <col min="3848" max="3848" width="11.125" style="288" customWidth="1"/>
    <col min="3849" max="3849" width="10.625" style="288" customWidth="1"/>
    <col min="3850" max="4096" width="9.125" style="288" customWidth="1"/>
    <col min="4097" max="4097" width="5.875" style="288" customWidth="1"/>
    <col min="4098" max="4098" width="6.125" style="288" customWidth="1"/>
    <col min="4099" max="4099" width="11.50390625" style="288" customWidth="1"/>
    <col min="4100" max="4100" width="15.875" style="288" customWidth="1"/>
    <col min="4101" max="4101" width="11.375" style="288" customWidth="1"/>
    <col min="4102" max="4102" width="10.875" style="288" customWidth="1"/>
    <col min="4103" max="4103" width="11.00390625" style="288" customWidth="1"/>
    <col min="4104" max="4104" width="11.125" style="288" customWidth="1"/>
    <col min="4105" max="4105" width="10.625" style="288" customWidth="1"/>
    <col min="4106" max="4352" width="9.125" style="288" customWidth="1"/>
    <col min="4353" max="4353" width="5.875" style="288" customWidth="1"/>
    <col min="4354" max="4354" width="6.125" style="288" customWidth="1"/>
    <col min="4355" max="4355" width="11.50390625" style="288" customWidth="1"/>
    <col min="4356" max="4356" width="15.875" style="288" customWidth="1"/>
    <col min="4357" max="4357" width="11.375" style="288" customWidth="1"/>
    <col min="4358" max="4358" width="10.875" style="288" customWidth="1"/>
    <col min="4359" max="4359" width="11.00390625" style="288" customWidth="1"/>
    <col min="4360" max="4360" width="11.125" style="288" customWidth="1"/>
    <col min="4361" max="4361" width="10.625" style="288" customWidth="1"/>
    <col min="4362" max="4608" width="9.125" style="288" customWidth="1"/>
    <col min="4609" max="4609" width="5.875" style="288" customWidth="1"/>
    <col min="4610" max="4610" width="6.125" style="288" customWidth="1"/>
    <col min="4611" max="4611" width="11.50390625" style="288" customWidth="1"/>
    <col min="4612" max="4612" width="15.875" style="288" customWidth="1"/>
    <col min="4613" max="4613" width="11.375" style="288" customWidth="1"/>
    <col min="4614" max="4614" width="10.875" style="288" customWidth="1"/>
    <col min="4615" max="4615" width="11.00390625" style="288" customWidth="1"/>
    <col min="4616" max="4616" width="11.125" style="288" customWidth="1"/>
    <col min="4617" max="4617" width="10.625" style="288" customWidth="1"/>
    <col min="4618" max="4864" width="9.125" style="288" customWidth="1"/>
    <col min="4865" max="4865" width="5.875" style="288" customWidth="1"/>
    <col min="4866" max="4866" width="6.125" style="288" customWidth="1"/>
    <col min="4867" max="4867" width="11.50390625" style="288" customWidth="1"/>
    <col min="4868" max="4868" width="15.875" style="288" customWidth="1"/>
    <col min="4869" max="4869" width="11.375" style="288" customWidth="1"/>
    <col min="4870" max="4870" width="10.875" style="288" customWidth="1"/>
    <col min="4871" max="4871" width="11.00390625" style="288" customWidth="1"/>
    <col min="4872" max="4872" width="11.125" style="288" customWidth="1"/>
    <col min="4873" max="4873" width="10.625" style="288" customWidth="1"/>
    <col min="4874" max="5120" width="9.125" style="288" customWidth="1"/>
    <col min="5121" max="5121" width="5.875" style="288" customWidth="1"/>
    <col min="5122" max="5122" width="6.125" style="288" customWidth="1"/>
    <col min="5123" max="5123" width="11.50390625" style="288" customWidth="1"/>
    <col min="5124" max="5124" width="15.875" style="288" customWidth="1"/>
    <col min="5125" max="5125" width="11.375" style="288" customWidth="1"/>
    <col min="5126" max="5126" width="10.875" style="288" customWidth="1"/>
    <col min="5127" max="5127" width="11.00390625" style="288" customWidth="1"/>
    <col min="5128" max="5128" width="11.125" style="288" customWidth="1"/>
    <col min="5129" max="5129" width="10.625" style="288" customWidth="1"/>
    <col min="5130" max="5376" width="9.125" style="288" customWidth="1"/>
    <col min="5377" max="5377" width="5.875" style="288" customWidth="1"/>
    <col min="5378" max="5378" width="6.125" style="288" customWidth="1"/>
    <col min="5379" max="5379" width="11.50390625" style="288" customWidth="1"/>
    <col min="5380" max="5380" width="15.875" style="288" customWidth="1"/>
    <col min="5381" max="5381" width="11.375" style="288" customWidth="1"/>
    <col min="5382" max="5382" width="10.875" style="288" customWidth="1"/>
    <col min="5383" max="5383" width="11.00390625" style="288" customWidth="1"/>
    <col min="5384" max="5384" width="11.125" style="288" customWidth="1"/>
    <col min="5385" max="5385" width="10.625" style="288" customWidth="1"/>
    <col min="5386" max="5632" width="9.125" style="288" customWidth="1"/>
    <col min="5633" max="5633" width="5.875" style="288" customWidth="1"/>
    <col min="5634" max="5634" width="6.125" style="288" customWidth="1"/>
    <col min="5635" max="5635" width="11.50390625" style="288" customWidth="1"/>
    <col min="5636" max="5636" width="15.875" style="288" customWidth="1"/>
    <col min="5637" max="5637" width="11.375" style="288" customWidth="1"/>
    <col min="5638" max="5638" width="10.875" style="288" customWidth="1"/>
    <col min="5639" max="5639" width="11.00390625" style="288" customWidth="1"/>
    <col min="5640" max="5640" width="11.125" style="288" customWidth="1"/>
    <col min="5641" max="5641" width="10.625" style="288" customWidth="1"/>
    <col min="5642" max="5888" width="9.125" style="288" customWidth="1"/>
    <col min="5889" max="5889" width="5.875" style="288" customWidth="1"/>
    <col min="5890" max="5890" width="6.125" style="288" customWidth="1"/>
    <col min="5891" max="5891" width="11.50390625" style="288" customWidth="1"/>
    <col min="5892" max="5892" width="15.875" style="288" customWidth="1"/>
    <col min="5893" max="5893" width="11.375" style="288" customWidth="1"/>
    <col min="5894" max="5894" width="10.875" style="288" customWidth="1"/>
    <col min="5895" max="5895" width="11.00390625" style="288" customWidth="1"/>
    <col min="5896" max="5896" width="11.125" style="288" customWidth="1"/>
    <col min="5897" max="5897" width="10.625" style="288" customWidth="1"/>
    <col min="5898" max="6144" width="9.125" style="288" customWidth="1"/>
    <col min="6145" max="6145" width="5.875" style="288" customWidth="1"/>
    <col min="6146" max="6146" width="6.125" style="288" customWidth="1"/>
    <col min="6147" max="6147" width="11.50390625" style="288" customWidth="1"/>
    <col min="6148" max="6148" width="15.875" style="288" customWidth="1"/>
    <col min="6149" max="6149" width="11.375" style="288" customWidth="1"/>
    <col min="6150" max="6150" width="10.875" style="288" customWidth="1"/>
    <col min="6151" max="6151" width="11.00390625" style="288" customWidth="1"/>
    <col min="6152" max="6152" width="11.125" style="288" customWidth="1"/>
    <col min="6153" max="6153" width="10.625" style="288" customWidth="1"/>
    <col min="6154" max="6400" width="9.125" style="288" customWidth="1"/>
    <col min="6401" max="6401" width="5.875" style="288" customWidth="1"/>
    <col min="6402" max="6402" width="6.125" style="288" customWidth="1"/>
    <col min="6403" max="6403" width="11.50390625" style="288" customWidth="1"/>
    <col min="6404" max="6404" width="15.875" style="288" customWidth="1"/>
    <col min="6405" max="6405" width="11.375" style="288" customWidth="1"/>
    <col min="6406" max="6406" width="10.875" style="288" customWidth="1"/>
    <col min="6407" max="6407" width="11.00390625" style="288" customWidth="1"/>
    <col min="6408" max="6408" width="11.125" style="288" customWidth="1"/>
    <col min="6409" max="6409" width="10.625" style="288" customWidth="1"/>
    <col min="6410" max="6656" width="9.125" style="288" customWidth="1"/>
    <col min="6657" max="6657" width="5.875" style="288" customWidth="1"/>
    <col min="6658" max="6658" width="6.125" style="288" customWidth="1"/>
    <col min="6659" max="6659" width="11.50390625" style="288" customWidth="1"/>
    <col min="6660" max="6660" width="15.875" style="288" customWidth="1"/>
    <col min="6661" max="6661" width="11.375" style="288" customWidth="1"/>
    <col min="6662" max="6662" width="10.875" style="288" customWidth="1"/>
    <col min="6663" max="6663" width="11.00390625" style="288" customWidth="1"/>
    <col min="6664" max="6664" width="11.125" style="288" customWidth="1"/>
    <col min="6665" max="6665" width="10.625" style="288" customWidth="1"/>
    <col min="6666" max="6912" width="9.125" style="288" customWidth="1"/>
    <col min="6913" max="6913" width="5.875" style="288" customWidth="1"/>
    <col min="6914" max="6914" width="6.125" style="288" customWidth="1"/>
    <col min="6915" max="6915" width="11.50390625" style="288" customWidth="1"/>
    <col min="6916" max="6916" width="15.875" style="288" customWidth="1"/>
    <col min="6917" max="6917" width="11.375" style="288" customWidth="1"/>
    <col min="6918" max="6918" width="10.875" style="288" customWidth="1"/>
    <col min="6919" max="6919" width="11.00390625" style="288" customWidth="1"/>
    <col min="6920" max="6920" width="11.125" style="288" customWidth="1"/>
    <col min="6921" max="6921" width="10.625" style="288" customWidth="1"/>
    <col min="6922" max="7168" width="9.125" style="288" customWidth="1"/>
    <col min="7169" max="7169" width="5.875" style="288" customWidth="1"/>
    <col min="7170" max="7170" width="6.125" style="288" customWidth="1"/>
    <col min="7171" max="7171" width="11.50390625" style="288" customWidth="1"/>
    <col min="7172" max="7172" width="15.875" style="288" customWidth="1"/>
    <col min="7173" max="7173" width="11.375" style="288" customWidth="1"/>
    <col min="7174" max="7174" width="10.875" style="288" customWidth="1"/>
    <col min="7175" max="7175" width="11.00390625" style="288" customWidth="1"/>
    <col min="7176" max="7176" width="11.125" style="288" customWidth="1"/>
    <col min="7177" max="7177" width="10.625" style="288" customWidth="1"/>
    <col min="7178" max="7424" width="9.125" style="288" customWidth="1"/>
    <col min="7425" max="7425" width="5.875" style="288" customWidth="1"/>
    <col min="7426" max="7426" width="6.125" style="288" customWidth="1"/>
    <col min="7427" max="7427" width="11.50390625" style="288" customWidth="1"/>
    <col min="7428" max="7428" width="15.875" style="288" customWidth="1"/>
    <col min="7429" max="7429" width="11.375" style="288" customWidth="1"/>
    <col min="7430" max="7430" width="10.875" style="288" customWidth="1"/>
    <col min="7431" max="7431" width="11.00390625" style="288" customWidth="1"/>
    <col min="7432" max="7432" width="11.125" style="288" customWidth="1"/>
    <col min="7433" max="7433" width="10.625" style="288" customWidth="1"/>
    <col min="7434" max="7680" width="9.125" style="288" customWidth="1"/>
    <col min="7681" max="7681" width="5.875" style="288" customWidth="1"/>
    <col min="7682" max="7682" width="6.125" style="288" customWidth="1"/>
    <col min="7683" max="7683" width="11.50390625" style="288" customWidth="1"/>
    <col min="7684" max="7684" width="15.875" style="288" customWidth="1"/>
    <col min="7685" max="7685" width="11.375" style="288" customWidth="1"/>
    <col min="7686" max="7686" width="10.875" style="288" customWidth="1"/>
    <col min="7687" max="7687" width="11.00390625" style="288" customWidth="1"/>
    <col min="7688" max="7688" width="11.125" style="288" customWidth="1"/>
    <col min="7689" max="7689" width="10.625" style="288" customWidth="1"/>
    <col min="7690" max="7936" width="9.125" style="288" customWidth="1"/>
    <col min="7937" max="7937" width="5.875" style="288" customWidth="1"/>
    <col min="7938" max="7938" width="6.125" style="288" customWidth="1"/>
    <col min="7939" max="7939" width="11.50390625" style="288" customWidth="1"/>
    <col min="7940" max="7940" width="15.875" style="288" customWidth="1"/>
    <col min="7941" max="7941" width="11.375" style="288" customWidth="1"/>
    <col min="7942" max="7942" width="10.875" style="288" customWidth="1"/>
    <col min="7943" max="7943" width="11.00390625" style="288" customWidth="1"/>
    <col min="7944" max="7944" width="11.125" style="288" customWidth="1"/>
    <col min="7945" max="7945" width="10.625" style="288" customWidth="1"/>
    <col min="7946" max="8192" width="9.125" style="288" customWidth="1"/>
    <col min="8193" max="8193" width="5.875" style="288" customWidth="1"/>
    <col min="8194" max="8194" width="6.125" style="288" customWidth="1"/>
    <col min="8195" max="8195" width="11.50390625" style="288" customWidth="1"/>
    <col min="8196" max="8196" width="15.875" style="288" customWidth="1"/>
    <col min="8197" max="8197" width="11.375" style="288" customWidth="1"/>
    <col min="8198" max="8198" width="10.875" style="288" customWidth="1"/>
    <col min="8199" max="8199" width="11.00390625" style="288" customWidth="1"/>
    <col min="8200" max="8200" width="11.125" style="288" customWidth="1"/>
    <col min="8201" max="8201" width="10.625" style="288" customWidth="1"/>
    <col min="8202" max="8448" width="9.125" style="288" customWidth="1"/>
    <col min="8449" max="8449" width="5.875" style="288" customWidth="1"/>
    <col min="8450" max="8450" width="6.125" style="288" customWidth="1"/>
    <col min="8451" max="8451" width="11.50390625" style="288" customWidth="1"/>
    <col min="8452" max="8452" width="15.875" style="288" customWidth="1"/>
    <col min="8453" max="8453" width="11.375" style="288" customWidth="1"/>
    <col min="8454" max="8454" width="10.875" style="288" customWidth="1"/>
    <col min="8455" max="8455" width="11.00390625" style="288" customWidth="1"/>
    <col min="8456" max="8456" width="11.125" style="288" customWidth="1"/>
    <col min="8457" max="8457" width="10.625" style="288" customWidth="1"/>
    <col min="8458" max="8704" width="9.125" style="288" customWidth="1"/>
    <col min="8705" max="8705" width="5.875" style="288" customWidth="1"/>
    <col min="8706" max="8706" width="6.125" style="288" customWidth="1"/>
    <col min="8707" max="8707" width="11.50390625" style="288" customWidth="1"/>
    <col min="8708" max="8708" width="15.875" style="288" customWidth="1"/>
    <col min="8709" max="8709" width="11.375" style="288" customWidth="1"/>
    <col min="8710" max="8710" width="10.875" style="288" customWidth="1"/>
    <col min="8711" max="8711" width="11.00390625" style="288" customWidth="1"/>
    <col min="8712" max="8712" width="11.125" style="288" customWidth="1"/>
    <col min="8713" max="8713" width="10.625" style="288" customWidth="1"/>
    <col min="8714" max="8960" width="9.125" style="288" customWidth="1"/>
    <col min="8961" max="8961" width="5.875" style="288" customWidth="1"/>
    <col min="8962" max="8962" width="6.125" style="288" customWidth="1"/>
    <col min="8963" max="8963" width="11.50390625" style="288" customWidth="1"/>
    <col min="8964" max="8964" width="15.875" style="288" customWidth="1"/>
    <col min="8965" max="8965" width="11.375" style="288" customWidth="1"/>
    <col min="8966" max="8966" width="10.875" style="288" customWidth="1"/>
    <col min="8967" max="8967" width="11.00390625" style="288" customWidth="1"/>
    <col min="8968" max="8968" width="11.125" style="288" customWidth="1"/>
    <col min="8969" max="8969" width="10.625" style="288" customWidth="1"/>
    <col min="8970" max="9216" width="9.125" style="288" customWidth="1"/>
    <col min="9217" max="9217" width="5.875" style="288" customWidth="1"/>
    <col min="9218" max="9218" width="6.125" style="288" customWidth="1"/>
    <col min="9219" max="9219" width="11.50390625" style="288" customWidth="1"/>
    <col min="9220" max="9220" width="15.875" style="288" customWidth="1"/>
    <col min="9221" max="9221" width="11.375" style="288" customWidth="1"/>
    <col min="9222" max="9222" width="10.875" style="288" customWidth="1"/>
    <col min="9223" max="9223" width="11.00390625" style="288" customWidth="1"/>
    <col min="9224" max="9224" width="11.125" style="288" customWidth="1"/>
    <col min="9225" max="9225" width="10.625" style="288" customWidth="1"/>
    <col min="9226" max="9472" width="9.125" style="288" customWidth="1"/>
    <col min="9473" max="9473" width="5.875" style="288" customWidth="1"/>
    <col min="9474" max="9474" width="6.125" style="288" customWidth="1"/>
    <col min="9475" max="9475" width="11.50390625" style="288" customWidth="1"/>
    <col min="9476" max="9476" width="15.875" style="288" customWidth="1"/>
    <col min="9477" max="9477" width="11.375" style="288" customWidth="1"/>
    <col min="9478" max="9478" width="10.875" style="288" customWidth="1"/>
    <col min="9479" max="9479" width="11.00390625" style="288" customWidth="1"/>
    <col min="9480" max="9480" width="11.125" style="288" customWidth="1"/>
    <col min="9481" max="9481" width="10.625" style="288" customWidth="1"/>
    <col min="9482" max="9728" width="9.125" style="288" customWidth="1"/>
    <col min="9729" max="9729" width="5.875" style="288" customWidth="1"/>
    <col min="9730" max="9730" width="6.125" style="288" customWidth="1"/>
    <col min="9731" max="9731" width="11.50390625" style="288" customWidth="1"/>
    <col min="9732" max="9732" width="15.875" style="288" customWidth="1"/>
    <col min="9733" max="9733" width="11.375" style="288" customWidth="1"/>
    <col min="9734" max="9734" width="10.875" style="288" customWidth="1"/>
    <col min="9735" max="9735" width="11.00390625" style="288" customWidth="1"/>
    <col min="9736" max="9736" width="11.125" style="288" customWidth="1"/>
    <col min="9737" max="9737" width="10.625" style="288" customWidth="1"/>
    <col min="9738" max="9984" width="9.125" style="288" customWidth="1"/>
    <col min="9985" max="9985" width="5.875" style="288" customWidth="1"/>
    <col min="9986" max="9986" width="6.125" style="288" customWidth="1"/>
    <col min="9987" max="9987" width="11.50390625" style="288" customWidth="1"/>
    <col min="9988" max="9988" width="15.875" style="288" customWidth="1"/>
    <col min="9989" max="9989" width="11.375" style="288" customWidth="1"/>
    <col min="9990" max="9990" width="10.875" style="288" customWidth="1"/>
    <col min="9991" max="9991" width="11.00390625" style="288" customWidth="1"/>
    <col min="9992" max="9992" width="11.125" style="288" customWidth="1"/>
    <col min="9993" max="9993" width="10.625" style="288" customWidth="1"/>
    <col min="9994" max="10240" width="9.125" style="288" customWidth="1"/>
    <col min="10241" max="10241" width="5.875" style="288" customWidth="1"/>
    <col min="10242" max="10242" width="6.125" style="288" customWidth="1"/>
    <col min="10243" max="10243" width="11.50390625" style="288" customWidth="1"/>
    <col min="10244" max="10244" width="15.875" style="288" customWidth="1"/>
    <col min="10245" max="10245" width="11.375" style="288" customWidth="1"/>
    <col min="10246" max="10246" width="10.875" style="288" customWidth="1"/>
    <col min="10247" max="10247" width="11.00390625" style="288" customWidth="1"/>
    <col min="10248" max="10248" width="11.125" style="288" customWidth="1"/>
    <col min="10249" max="10249" width="10.625" style="288" customWidth="1"/>
    <col min="10250" max="10496" width="9.125" style="288" customWidth="1"/>
    <col min="10497" max="10497" width="5.875" style="288" customWidth="1"/>
    <col min="10498" max="10498" width="6.125" style="288" customWidth="1"/>
    <col min="10499" max="10499" width="11.50390625" style="288" customWidth="1"/>
    <col min="10500" max="10500" width="15.875" style="288" customWidth="1"/>
    <col min="10501" max="10501" width="11.375" style="288" customWidth="1"/>
    <col min="10502" max="10502" width="10.875" style="288" customWidth="1"/>
    <col min="10503" max="10503" width="11.00390625" style="288" customWidth="1"/>
    <col min="10504" max="10504" width="11.125" style="288" customWidth="1"/>
    <col min="10505" max="10505" width="10.625" style="288" customWidth="1"/>
    <col min="10506" max="10752" width="9.125" style="288" customWidth="1"/>
    <col min="10753" max="10753" width="5.875" style="288" customWidth="1"/>
    <col min="10754" max="10754" width="6.125" style="288" customWidth="1"/>
    <col min="10755" max="10755" width="11.50390625" style="288" customWidth="1"/>
    <col min="10756" max="10756" width="15.875" style="288" customWidth="1"/>
    <col min="10757" max="10757" width="11.375" style="288" customWidth="1"/>
    <col min="10758" max="10758" width="10.875" style="288" customWidth="1"/>
    <col min="10759" max="10759" width="11.00390625" style="288" customWidth="1"/>
    <col min="10760" max="10760" width="11.125" style="288" customWidth="1"/>
    <col min="10761" max="10761" width="10.625" style="288" customWidth="1"/>
    <col min="10762" max="11008" width="9.125" style="288" customWidth="1"/>
    <col min="11009" max="11009" width="5.875" style="288" customWidth="1"/>
    <col min="11010" max="11010" width="6.125" style="288" customWidth="1"/>
    <col min="11011" max="11011" width="11.50390625" style="288" customWidth="1"/>
    <col min="11012" max="11012" width="15.875" style="288" customWidth="1"/>
    <col min="11013" max="11013" width="11.375" style="288" customWidth="1"/>
    <col min="11014" max="11014" width="10.875" style="288" customWidth="1"/>
    <col min="11015" max="11015" width="11.00390625" style="288" customWidth="1"/>
    <col min="11016" max="11016" width="11.125" style="288" customWidth="1"/>
    <col min="11017" max="11017" width="10.625" style="288" customWidth="1"/>
    <col min="11018" max="11264" width="9.125" style="288" customWidth="1"/>
    <col min="11265" max="11265" width="5.875" style="288" customWidth="1"/>
    <col min="11266" max="11266" width="6.125" style="288" customWidth="1"/>
    <col min="11267" max="11267" width="11.50390625" style="288" customWidth="1"/>
    <col min="11268" max="11268" width="15.875" style="288" customWidth="1"/>
    <col min="11269" max="11269" width="11.375" style="288" customWidth="1"/>
    <col min="11270" max="11270" width="10.875" style="288" customWidth="1"/>
    <col min="11271" max="11271" width="11.00390625" style="288" customWidth="1"/>
    <col min="11272" max="11272" width="11.125" style="288" customWidth="1"/>
    <col min="11273" max="11273" width="10.625" style="288" customWidth="1"/>
    <col min="11274" max="11520" width="9.125" style="288" customWidth="1"/>
    <col min="11521" max="11521" width="5.875" style="288" customWidth="1"/>
    <col min="11522" max="11522" width="6.125" style="288" customWidth="1"/>
    <col min="11523" max="11523" width="11.50390625" style="288" customWidth="1"/>
    <col min="11524" max="11524" width="15.875" style="288" customWidth="1"/>
    <col min="11525" max="11525" width="11.375" style="288" customWidth="1"/>
    <col min="11526" max="11526" width="10.875" style="288" customWidth="1"/>
    <col min="11527" max="11527" width="11.00390625" style="288" customWidth="1"/>
    <col min="11528" max="11528" width="11.125" style="288" customWidth="1"/>
    <col min="11529" max="11529" width="10.625" style="288" customWidth="1"/>
    <col min="11530" max="11776" width="9.125" style="288" customWidth="1"/>
    <col min="11777" max="11777" width="5.875" style="288" customWidth="1"/>
    <col min="11778" max="11778" width="6.125" style="288" customWidth="1"/>
    <col min="11779" max="11779" width="11.50390625" style="288" customWidth="1"/>
    <col min="11780" max="11780" width="15.875" style="288" customWidth="1"/>
    <col min="11781" max="11781" width="11.375" style="288" customWidth="1"/>
    <col min="11782" max="11782" width="10.875" style="288" customWidth="1"/>
    <col min="11783" max="11783" width="11.00390625" style="288" customWidth="1"/>
    <col min="11784" max="11784" width="11.125" style="288" customWidth="1"/>
    <col min="11785" max="11785" width="10.625" style="288" customWidth="1"/>
    <col min="11786" max="12032" width="9.125" style="288" customWidth="1"/>
    <col min="12033" max="12033" width="5.875" style="288" customWidth="1"/>
    <col min="12034" max="12034" width="6.125" style="288" customWidth="1"/>
    <col min="12035" max="12035" width="11.50390625" style="288" customWidth="1"/>
    <col min="12036" max="12036" width="15.875" style="288" customWidth="1"/>
    <col min="12037" max="12037" width="11.375" style="288" customWidth="1"/>
    <col min="12038" max="12038" width="10.875" style="288" customWidth="1"/>
    <col min="12039" max="12039" width="11.00390625" style="288" customWidth="1"/>
    <col min="12040" max="12040" width="11.125" style="288" customWidth="1"/>
    <col min="12041" max="12041" width="10.625" style="288" customWidth="1"/>
    <col min="12042" max="12288" width="9.125" style="288" customWidth="1"/>
    <col min="12289" max="12289" width="5.875" style="288" customWidth="1"/>
    <col min="12290" max="12290" width="6.125" style="288" customWidth="1"/>
    <col min="12291" max="12291" width="11.50390625" style="288" customWidth="1"/>
    <col min="12292" max="12292" width="15.875" style="288" customWidth="1"/>
    <col min="12293" max="12293" width="11.375" style="288" customWidth="1"/>
    <col min="12294" max="12294" width="10.875" style="288" customWidth="1"/>
    <col min="12295" max="12295" width="11.00390625" style="288" customWidth="1"/>
    <col min="12296" max="12296" width="11.125" style="288" customWidth="1"/>
    <col min="12297" max="12297" width="10.625" style="288" customWidth="1"/>
    <col min="12298" max="12544" width="9.125" style="288" customWidth="1"/>
    <col min="12545" max="12545" width="5.875" style="288" customWidth="1"/>
    <col min="12546" max="12546" width="6.125" style="288" customWidth="1"/>
    <col min="12547" max="12547" width="11.50390625" style="288" customWidth="1"/>
    <col min="12548" max="12548" width="15.875" style="288" customWidth="1"/>
    <col min="12549" max="12549" width="11.375" style="288" customWidth="1"/>
    <col min="12550" max="12550" width="10.875" style="288" customWidth="1"/>
    <col min="12551" max="12551" width="11.00390625" style="288" customWidth="1"/>
    <col min="12552" max="12552" width="11.125" style="288" customWidth="1"/>
    <col min="12553" max="12553" width="10.625" style="288" customWidth="1"/>
    <col min="12554" max="12800" width="9.125" style="288" customWidth="1"/>
    <col min="12801" max="12801" width="5.875" style="288" customWidth="1"/>
    <col min="12802" max="12802" width="6.125" style="288" customWidth="1"/>
    <col min="12803" max="12803" width="11.50390625" style="288" customWidth="1"/>
    <col min="12804" max="12804" width="15.875" style="288" customWidth="1"/>
    <col min="12805" max="12805" width="11.375" style="288" customWidth="1"/>
    <col min="12806" max="12806" width="10.875" style="288" customWidth="1"/>
    <col min="12807" max="12807" width="11.00390625" style="288" customWidth="1"/>
    <col min="12808" max="12808" width="11.125" style="288" customWidth="1"/>
    <col min="12809" max="12809" width="10.625" style="288" customWidth="1"/>
    <col min="12810" max="13056" width="9.125" style="288" customWidth="1"/>
    <col min="13057" max="13057" width="5.875" style="288" customWidth="1"/>
    <col min="13058" max="13058" width="6.125" style="288" customWidth="1"/>
    <col min="13059" max="13059" width="11.50390625" style="288" customWidth="1"/>
    <col min="13060" max="13060" width="15.875" style="288" customWidth="1"/>
    <col min="13061" max="13061" width="11.375" style="288" customWidth="1"/>
    <col min="13062" max="13062" width="10.875" style="288" customWidth="1"/>
    <col min="13063" max="13063" width="11.00390625" style="288" customWidth="1"/>
    <col min="13064" max="13064" width="11.125" style="288" customWidth="1"/>
    <col min="13065" max="13065" width="10.625" style="288" customWidth="1"/>
    <col min="13066" max="13312" width="9.125" style="288" customWidth="1"/>
    <col min="13313" max="13313" width="5.875" style="288" customWidth="1"/>
    <col min="13314" max="13314" width="6.125" style="288" customWidth="1"/>
    <col min="13315" max="13315" width="11.50390625" style="288" customWidth="1"/>
    <col min="13316" max="13316" width="15.875" style="288" customWidth="1"/>
    <col min="13317" max="13317" width="11.375" style="288" customWidth="1"/>
    <col min="13318" max="13318" width="10.875" style="288" customWidth="1"/>
    <col min="13319" max="13319" width="11.00390625" style="288" customWidth="1"/>
    <col min="13320" max="13320" width="11.125" style="288" customWidth="1"/>
    <col min="13321" max="13321" width="10.625" style="288" customWidth="1"/>
    <col min="13322" max="13568" width="9.125" style="288" customWidth="1"/>
    <col min="13569" max="13569" width="5.875" style="288" customWidth="1"/>
    <col min="13570" max="13570" width="6.125" style="288" customWidth="1"/>
    <col min="13571" max="13571" width="11.50390625" style="288" customWidth="1"/>
    <col min="13572" max="13572" width="15.875" style="288" customWidth="1"/>
    <col min="13573" max="13573" width="11.375" style="288" customWidth="1"/>
    <col min="13574" max="13574" width="10.875" style="288" customWidth="1"/>
    <col min="13575" max="13575" width="11.00390625" style="288" customWidth="1"/>
    <col min="13576" max="13576" width="11.125" style="288" customWidth="1"/>
    <col min="13577" max="13577" width="10.625" style="288" customWidth="1"/>
    <col min="13578" max="13824" width="9.125" style="288" customWidth="1"/>
    <col min="13825" max="13825" width="5.875" style="288" customWidth="1"/>
    <col min="13826" max="13826" width="6.125" style="288" customWidth="1"/>
    <col min="13827" max="13827" width="11.50390625" style="288" customWidth="1"/>
    <col min="13828" max="13828" width="15.875" style="288" customWidth="1"/>
    <col min="13829" max="13829" width="11.375" style="288" customWidth="1"/>
    <col min="13830" max="13830" width="10.875" style="288" customWidth="1"/>
    <col min="13831" max="13831" width="11.00390625" style="288" customWidth="1"/>
    <col min="13832" max="13832" width="11.125" style="288" customWidth="1"/>
    <col min="13833" max="13833" width="10.625" style="288" customWidth="1"/>
    <col min="13834" max="14080" width="9.125" style="288" customWidth="1"/>
    <col min="14081" max="14081" width="5.875" style="288" customWidth="1"/>
    <col min="14082" max="14082" width="6.125" style="288" customWidth="1"/>
    <col min="14083" max="14083" width="11.50390625" style="288" customWidth="1"/>
    <col min="14084" max="14084" width="15.875" style="288" customWidth="1"/>
    <col min="14085" max="14085" width="11.375" style="288" customWidth="1"/>
    <col min="14086" max="14086" width="10.875" style="288" customWidth="1"/>
    <col min="14087" max="14087" width="11.00390625" style="288" customWidth="1"/>
    <col min="14088" max="14088" width="11.125" style="288" customWidth="1"/>
    <col min="14089" max="14089" width="10.625" style="288" customWidth="1"/>
    <col min="14090" max="14336" width="9.125" style="288" customWidth="1"/>
    <col min="14337" max="14337" width="5.875" style="288" customWidth="1"/>
    <col min="14338" max="14338" width="6.125" style="288" customWidth="1"/>
    <col min="14339" max="14339" width="11.50390625" style="288" customWidth="1"/>
    <col min="14340" max="14340" width="15.875" style="288" customWidth="1"/>
    <col min="14341" max="14341" width="11.375" style="288" customWidth="1"/>
    <col min="14342" max="14342" width="10.875" style="288" customWidth="1"/>
    <col min="14343" max="14343" width="11.00390625" style="288" customWidth="1"/>
    <col min="14344" max="14344" width="11.125" style="288" customWidth="1"/>
    <col min="14345" max="14345" width="10.625" style="288" customWidth="1"/>
    <col min="14346" max="14592" width="9.125" style="288" customWidth="1"/>
    <col min="14593" max="14593" width="5.875" style="288" customWidth="1"/>
    <col min="14594" max="14594" width="6.125" style="288" customWidth="1"/>
    <col min="14595" max="14595" width="11.50390625" style="288" customWidth="1"/>
    <col min="14596" max="14596" width="15.875" style="288" customWidth="1"/>
    <col min="14597" max="14597" width="11.375" style="288" customWidth="1"/>
    <col min="14598" max="14598" width="10.875" style="288" customWidth="1"/>
    <col min="14599" max="14599" width="11.00390625" style="288" customWidth="1"/>
    <col min="14600" max="14600" width="11.125" style="288" customWidth="1"/>
    <col min="14601" max="14601" width="10.625" style="288" customWidth="1"/>
    <col min="14602" max="14848" width="9.125" style="288" customWidth="1"/>
    <col min="14849" max="14849" width="5.875" style="288" customWidth="1"/>
    <col min="14850" max="14850" width="6.125" style="288" customWidth="1"/>
    <col min="14851" max="14851" width="11.50390625" style="288" customWidth="1"/>
    <col min="14852" max="14852" width="15.875" style="288" customWidth="1"/>
    <col min="14853" max="14853" width="11.375" style="288" customWidth="1"/>
    <col min="14854" max="14854" width="10.875" style="288" customWidth="1"/>
    <col min="14855" max="14855" width="11.00390625" style="288" customWidth="1"/>
    <col min="14856" max="14856" width="11.125" style="288" customWidth="1"/>
    <col min="14857" max="14857" width="10.625" style="288" customWidth="1"/>
    <col min="14858" max="15104" width="9.125" style="288" customWidth="1"/>
    <col min="15105" max="15105" width="5.875" style="288" customWidth="1"/>
    <col min="15106" max="15106" width="6.125" style="288" customWidth="1"/>
    <col min="15107" max="15107" width="11.50390625" style="288" customWidth="1"/>
    <col min="15108" max="15108" width="15.875" style="288" customWidth="1"/>
    <col min="15109" max="15109" width="11.375" style="288" customWidth="1"/>
    <col min="15110" max="15110" width="10.875" style="288" customWidth="1"/>
    <col min="15111" max="15111" width="11.00390625" style="288" customWidth="1"/>
    <col min="15112" max="15112" width="11.125" style="288" customWidth="1"/>
    <col min="15113" max="15113" width="10.625" style="288" customWidth="1"/>
    <col min="15114" max="15360" width="9.125" style="288" customWidth="1"/>
    <col min="15361" max="15361" width="5.875" style="288" customWidth="1"/>
    <col min="15362" max="15362" width="6.125" style="288" customWidth="1"/>
    <col min="15363" max="15363" width="11.50390625" style="288" customWidth="1"/>
    <col min="15364" max="15364" width="15.875" style="288" customWidth="1"/>
    <col min="15365" max="15365" width="11.375" style="288" customWidth="1"/>
    <col min="15366" max="15366" width="10.875" style="288" customWidth="1"/>
    <col min="15367" max="15367" width="11.00390625" style="288" customWidth="1"/>
    <col min="15368" max="15368" width="11.125" style="288" customWidth="1"/>
    <col min="15369" max="15369" width="10.625" style="288" customWidth="1"/>
    <col min="15370" max="15616" width="9.125" style="288" customWidth="1"/>
    <col min="15617" max="15617" width="5.875" style="288" customWidth="1"/>
    <col min="15618" max="15618" width="6.125" style="288" customWidth="1"/>
    <col min="15619" max="15619" width="11.50390625" style="288" customWidth="1"/>
    <col min="15620" max="15620" width="15.875" style="288" customWidth="1"/>
    <col min="15621" max="15621" width="11.375" style="288" customWidth="1"/>
    <col min="15622" max="15622" width="10.875" style="288" customWidth="1"/>
    <col min="15623" max="15623" width="11.00390625" style="288" customWidth="1"/>
    <col min="15624" max="15624" width="11.125" style="288" customWidth="1"/>
    <col min="15625" max="15625" width="10.625" style="288" customWidth="1"/>
    <col min="15626" max="15872" width="9.125" style="288" customWidth="1"/>
    <col min="15873" max="15873" width="5.875" style="288" customWidth="1"/>
    <col min="15874" max="15874" width="6.125" style="288" customWidth="1"/>
    <col min="15875" max="15875" width="11.50390625" style="288" customWidth="1"/>
    <col min="15876" max="15876" width="15.875" style="288" customWidth="1"/>
    <col min="15877" max="15877" width="11.375" style="288" customWidth="1"/>
    <col min="15878" max="15878" width="10.875" style="288" customWidth="1"/>
    <col min="15879" max="15879" width="11.00390625" style="288" customWidth="1"/>
    <col min="15880" max="15880" width="11.125" style="288" customWidth="1"/>
    <col min="15881" max="15881" width="10.625" style="288" customWidth="1"/>
    <col min="15882" max="16128" width="9.125" style="288" customWidth="1"/>
    <col min="16129" max="16129" width="5.875" style="288" customWidth="1"/>
    <col min="16130" max="16130" width="6.125" style="288" customWidth="1"/>
    <col min="16131" max="16131" width="11.50390625" style="288" customWidth="1"/>
    <col min="16132" max="16132" width="15.875" style="288" customWidth="1"/>
    <col min="16133" max="16133" width="11.375" style="288" customWidth="1"/>
    <col min="16134" max="16134" width="10.875" style="288" customWidth="1"/>
    <col min="16135" max="16135" width="11.00390625" style="288" customWidth="1"/>
    <col min="16136" max="16136" width="11.125" style="288" customWidth="1"/>
    <col min="16137" max="16137" width="10.625" style="288" customWidth="1"/>
    <col min="16138" max="16384" width="9.125" style="288" customWidth="1"/>
  </cols>
  <sheetData>
    <row r="1" spans="1:9" ht="13.8" thickTop="1">
      <c r="A1" s="1612" t="s">
        <v>2</v>
      </c>
      <c r="B1" s="1613"/>
      <c r="C1" s="433" t="s">
        <v>82</v>
      </c>
      <c r="D1" s="431"/>
      <c r="E1" s="432"/>
      <c r="F1" s="431"/>
      <c r="G1" s="430" t="s">
        <v>81</v>
      </c>
      <c r="H1" s="429" t="s">
        <v>80</v>
      </c>
      <c r="I1" s="428"/>
    </row>
    <row r="2" spans="1:9" ht="13.8" thickBot="1">
      <c r="A2" s="1614" t="s">
        <v>79</v>
      </c>
      <c r="B2" s="1615"/>
      <c r="C2" s="427" t="s">
        <v>2241</v>
      </c>
      <c r="D2" s="425"/>
      <c r="E2" s="426"/>
      <c r="F2" s="425"/>
      <c r="G2" s="1616" t="s">
        <v>77</v>
      </c>
      <c r="H2" s="1617"/>
      <c r="I2" s="1618"/>
    </row>
    <row r="3" ht="13.8" thickTop="1">
      <c r="F3" s="321"/>
    </row>
    <row r="4" spans="1:9" ht="19.5" customHeight="1">
      <c r="A4" s="424" t="s">
        <v>76</v>
      </c>
      <c r="B4" s="403"/>
      <c r="C4" s="403"/>
      <c r="D4" s="403"/>
      <c r="E4" s="423"/>
      <c r="F4" s="403"/>
      <c r="G4" s="403"/>
      <c r="H4" s="403"/>
      <c r="I4" s="403"/>
    </row>
    <row r="5" ht="13.8" thickBot="1"/>
    <row r="6" spans="1:9" s="321" customFormat="1" ht="13.8" thickBot="1">
      <c r="A6" s="422"/>
      <c r="B6" s="421" t="s">
        <v>75</v>
      </c>
      <c r="C6" s="421"/>
      <c r="D6" s="420"/>
      <c r="E6" s="419" t="s">
        <v>74</v>
      </c>
      <c r="F6" s="418" t="s">
        <v>73</v>
      </c>
      <c r="G6" s="418" t="s">
        <v>72</v>
      </c>
      <c r="H6" s="418" t="s">
        <v>71</v>
      </c>
      <c r="I6" s="417" t="s">
        <v>70</v>
      </c>
    </row>
    <row r="7" spans="1:9" s="321" customFormat="1" ht="12.75">
      <c r="A7" s="416" t="str">
        <f>'r11bP'!B7</f>
        <v>1</v>
      </c>
      <c r="B7" s="415" t="str">
        <f>'r11bP'!C7</f>
        <v>Zemní práce</v>
      </c>
      <c r="D7" s="414"/>
      <c r="E7" s="413">
        <f>'r11bP'!BA22</f>
        <v>0</v>
      </c>
      <c r="F7" s="412">
        <f>'r11bP'!BB22</f>
        <v>0</v>
      </c>
      <c r="G7" s="412">
        <f>'r11bP'!BC22</f>
        <v>0</v>
      </c>
      <c r="H7" s="412">
        <f>'r11bP'!BD22</f>
        <v>0</v>
      </c>
      <c r="I7" s="411">
        <f>'r11bP'!BE22</f>
        <v>0</v>
      </c>
    </row>
    <row r="8" spans="1:9" s="74" customFormat="1" ht="12.75">
      <c r="A8" s="85" t="str">
        <f>'r11bP'!B23</f>
        <v>2</v>
      </c>
      <c r="B8" s="35" t="str">
        <f>'r11bP'!C23</f>
        <v>Základy a zvláštní zakládání</v>
      </c>
      <c r="D8" s="84"/>
      <c r="E8" s="83">
        <f>'r11bP'!BA44</f>
        <v>0</v>
      </c>
      <c r="F8" s="82">
        <f>'r11bP'!BB44</f>
        <v>0</v>
      </c>
      <c r="G8" s="82">
        <f>'r11bP'!BC44</f>
        <v>0</v>
      </c>
      <c r="H8" s="82">
        <f>'r11bP'!BD44</f>
        <v>0</v>
      </c>
      <c r="I8" s="81">
        <f>'r11bP'!BE44</f>
        <v>0</v>
      </c>
    </row>
    <row r="9" spans="1:9" s="74" customFormat="1" ht="12.75">
      <c r="A9" s="85" t="str">
        <f>'r11bP'!B45</f>
        <v>3</v>
      </c>
      <c r="B9" s="35" t="str">
        <f>'r11bP'!C45</f>
        <v>Svislé a kompletní konstrukce</v>
      </c>
      <c r="D9" s="84"/>
      <c r="E9" s="83">
        <f>'r11bP'!BA54</f>
        <v>0</v>
      </c>
      <c r="F9" s="82">
        <f>'r11bP'!BB54</f>
        <v>0</v>
      </c>
      <c r="G9" s="82">
        <f>'r11bP'!BC54</f>
        <v>0</v>
      </c>
      <c r="H9" s="82">
        <f>'r11bP'!BD54</f>
        <v>0</v>
      </c>
      <c r="I9" s="81">
        <f>'r11bP'!BE54</f>
        <v>0</v>
      </c>
    </row>
    <row r="10" spans="1:9" s="74" customFormat="1" ht="12.75">
      <c r="A10" s="85" t="str">
        <f>'r11bP'!B55</f>
        <v>4</v>
      </c>
      <c r="B10" s="35" t="str">
        <f>'r11bP'!C55</f>
        <v>Vodorovné konstrukce</v>
      </c>
      <c r="D10" s="84"/>
      <c r="E10" s="83">
        <f>'r11bP'!BA75</f>
        <v>0</v>
      </c>
      <c r="F10" s="82">
        <f>'r11bP'!BB75</f>
        <v>0</v>
      </c>
      <c r="G10" s="82">
        <f>'r11bP'!BC75</f>
        <v>0</v>
      </c>
      <c r="H10" s="82">
        <f>'r11bP'!BD75</f>
        <v>0</v>
      </c>
      <c r="I10" s="81">
        <f>'r11bP'!BE75</f>
        <v>0</v>
      </c>
    </row>
    <row r="11" spans="1:9" s="74" customFormat="1" ht="12.75">
      <c r="A11" s="85" t="str">
        <f>'r11bP'!B76</f>
        <v>5</v>
      </c>
      <c r="B11" s="35" t="str">
        <f>'r11bP'!C76</f>
        <v>Komunikace</v>
      </c>
      <c r="D11" s="84"/>
      <c r="E11" s="83">
        <f>'r11bP'!BA85</f>
        <v>0</v>
      </c>
      <c r="F11" s="82">
        <f>'r11bP'!BB85</f>
        <v>0</v>
      </c>
      <c r="G11" s="82">
        <f>'r11bP'!BC85</f>
        <v>0</v>
      </c>
      <c r="H11" s="82">
        <f>'r11bP'!BD85</f>
        <v>0</v>
      </c>
      <c r="I11" s="81">
        <f>'r11bP'!BE85</f>
        <v>0</v>
      </c>
    </row>
    <row r="12" spans="1:9" s="74" customFormat="1" ht="12.75">
      <c r="A12" s="85" t="str">
        <f>'r11bP'!B86</f>
        <v>63</v>
      </c>
      <c r="B12" s="35" t="str">
        <f>'r11bP'!C86</f>
        <v>Podlahy a podlahové konstrukce</v>
      </c>
      <c r="D12" s="84"/>
      <c r="E12" s="83">
        <f>'r11bP'!BA104</f>
        <v>0</v>
      </c>
      <c r="F12" s="82">
        <f>'r11bP'!BB104</f>
        <v>0</v>
      </c>
      <c r="G12" s="82">
        <f>'r11bP'!BC104</f>
        <v>0</v>
      </c>
      <c r="H12" s="82">
        <f>'r11bP'!BD104</f>
        <v>0</v>
      </c>
      <c r="I12" s="81">
        <f>'r11bP'!BE104</f>
        <v>0</v>
      </c>
    </row>
    <row r="13" spans="1:9" s="74" customFormat="1" ht="12.75">
      <c r="A13" s="85" t="str">
        <f>'r11bP'!B105</f>
        <v>91</v>
      </c>
      <c r="B13" s="35" t="str">
        <f>'r11bP'!C105</f>
        <v>Doplňující práce na komunikaci</v>
      </c>
      <c r="D13" s="84"/>
      <c r="E13" s="83">
        <f>'r11bP'!BA108</f>
        <v>0</v>
      </c>
      <c r="F13" s="82">
        <f>'r11bP'!BB108</f>
        <v>0</v>
      </c>
      <c r="G13" s="82">
        <f>'r11bP'!BC108</f>
        <v>0</v>
      </c>
      <c r="H13" s="82">
        <f>'r11bP'!BD108</f>
        <v>0</v>
      </c>
      <c r="I13" s="81">
        <f>'r11bP'!BE108</f>
        <v>0</v>
      </c>
    </row>
    <row r="14" spans="1:9" s="74" customFormat="1" ht="12.75">
      <c r="A14" s="85" t="str">
        <f>'r11bP'!B109</f>
        <v>99</v>
      </c>
      <c r="B14" s="35" t="str">
        <f>'r11bP'!C109</f>
        <v>Staveništní přesun hmot</v>
      </c>
      <c r="D14" s="84"/>
      <c r="E14" s="83">
        <f>'r11bP'!BA111</f>
        <v>0</v>
      </c>
      <c r="F14" s="82">
        <f>'r11bP'!BB111</f>
        <v>0</v>
      </c>
      <c r="G14" s="82">
        <f>'r11bP'!BC111</f>
        <v>0</v>
      </c>
      <c r="H14" s="82">
        <f>'r11bP'!BD111</f>
        <v>0</v>
      </c>
      <c r="I14" s="81">
        <f>'r11bP'!BE111</f>
        <v>0</v>
      </c>
    </row>
    <row r="15" spans="1:9" s="74" customFormat="1" ht="12.75">
      <c r="A15" s="85" t="str">
        <f>'r11bP'!B112</f>
        <v>711</v>
      </c>
      <c r="B15" s="35" t="str">
        <f>'r11bP'!C112</f>
        <v>Izolace proti vodě</v>
      </c>
      <c r="D15" s="84"/>
      <c r="E15" s="83">
        <f>'r11bP'!BA133</f>
        <v>0</v>
      </c>
      <c r="F15" s="82">
        <f>'r11bP'!BB133</f>
        <v>0</v>
      </c>
      <c r="G15" s="82">
        <f>'r11bP'!BC133</f>
        <v>0</v>
      </c>
      <c r="H15" s="82">
        <f>'r11bP'!BD133</f>
        <v>0</v>
      </c>
      <c r="I15" s="81">
        <f>'r11bP'!BE133</f>
        <v>0</v>
      </c>
    </row>
    <row r="16" spans="1:9" s="74" customFormat="1" ht="12.75">
      <c r="A16" s="85" t="str">
        <f>'r11bP'!B134</f>
        <v>722</v>
      </c>
      <c r="B16" s="35" t="str">
        <f>'r11bP'!C134</f>
        <v>Vnitřní vodovod</v>
      </c>
      <c r="D16" s="84"/>
      <c r="E16" s="83">
        <f>'r11bP'!BA137</f>
        <v>0</v>
      </c>
      <c r="F16" s="82">
        <f>'r11bP'!BB137</f>
        <v>0</v>
      </c>
      <c r="G16" s="82">
        <f>'r11bP'!BC137</f>
        <v>0</v>
      </c>
      <c r="H16" s="82">
        <f>'r11bP'!BD137</f>
        <v>0</v>
      </c>
      <c r="I16" s="81">
        <f>'r11bP'!BE137</f>
        <v>0</v>
      </c>
    </row>
    <row r="17" spans="1:9" s="74" customFormat="1" ht="12.75">
      <c r="A17" s="85" t="str">
        <f>'r11bP'!B138</f>
        <v>725</v>
      </c>
      <c r="B17" s="35" t="str">
        <f>'r11bP'!C138</f>
        <v>Zařizovací předměty</v>
      </c>
      <c r="D17" s="84"/>
      <c r="E17" s="83">
        <f>'r11bP'!BA142</f>
        <v>0</v>
      </c>
      <c r="F17" s="82">
        <f>'r11bP'!BB142</f>
        <v>0</v>
      </c>
      <c r="G17" s="82">
        <f>'r11bP'!BC142</f>
        <v>0</v>
      </c>
      <c r="H17" s="82">
        <f>'r11bP'!BD142</f>
        <v>0</v>
      </c>
      <c r="I17" s="81">
        <f>'r11bP'!BE142</f>
        <v>0</v>
      </c>
    </row>
    <row r="18" spans="1:9" s="74" customFormat="1" ht="12.75">
      <c r="A18" s="85" t="str">
        <f>'r11bP'!B143</f>
        <v>764</v>
      </c>
      <c r="B18" s="35" t="str">
        <f>'r11bP'!C143</f>
        <v>Konstrukce klempířské</v>
      </c>
      <c r="D18" s="84"/>
      <c r="E18" s="83">
        <f>'r11bP'!BA146</f>
        <v>0</v>
      </c>
      <c r="F18" s="82">
        <f>'r11bP'!BB146</f>
        <v>0</v>
      </c>
      <c r="G18" s="82">
        <f>'r11bP'!BC146</f>
        <v>0</v>
      </c>
      <c r="H18" s="82">
        <f>'r11bP'!BD146</f>
        <v>0</v>
      </c>
      <c r="I18" s="81">
        <f>'r11bP'!BE146</f>
        <v>0</v>
      </c>
    </row>
    <row r="19" spans="1:9" s="74" customFormat="1" ht="12.75">
      <c r="A19" s="85" t="str">
        <f>'r11bP'!B147</f>
        <v>767</v>
      </c>
      <c r="B19" s="35" t="str">
        <f>'r11bP'!C147</f>
        <v>Konstrukce zámečnické</v>
      </c>
      <c r="D19" s="84"/>
      <c r="E19" s="83">
        <f>'r11bP'!BA154</f>
        <v>0</v>
      </c>
      <c r="F19" s="82">
        <f>'r11bP'!BB154</f>
        <v>0</v>
      </c>
      <c r="G19" s="82">
        <f>'r11bP'!BC154</f>
        <v>0</v>
      </c>
      <c r="H19" s="82">
        <f>'r11bP'!BD154</f>
        <v>0</v>
      </c>
      <c r="I19" s="81">
        <f>'r11bP'!BE154</f>
        <v>0</v>
      </c>
    </row>
    <row r="20" spans="1:9" s="74" customFormat="1" ht="12.75">
      <c r="A20" s="85" t="str">
        <f>'r11bP'!B155</f>
        <v>783</v>
      </c>
      <c r="B20" s="35" t="str">
        <f>'r11bP'!C155</f>
        <v>Nátěry</v>
      </c>
      <c r="D20" s="84"/>
      <c r="E20" s="83">
        <f>'r11bP'!BA162</f>
        <v>0</v>
      </c>
      <c r="F20" s="82">
        <f>'r11bP'!BB162</f>
        <v>0</v>
      </c>
      <c r="G20" s="82">
        <f>'r11bP'!BC162</f>
        <v>0</v>
      </c>
      <c r="H20" s="82">
        <f>'r11bP'!BD162</f>
        <v>0</v>
      </c>
      <c r="I20" s="81">
        <f>'r11bP'!BE162</f>
        <v>0</v>
      </c>
    </row>
    <row r="21" spans="1:9" s="74" customFormat="1" ht="13.8" thickBot="1">
      <c r="A21" s="85" t="str">
        <f>'r11bP'!B163</f>
        <v>M21</v>
      </c>
      <c r="B21" s="35" t="str">
        <f>'r11bP'!C163</f>
        <v>Elektromontáže</v>
      </c>
      <c r="D21" s="84"/>
      <c r="E21" s="83">
        <f>'r11bP'!BA166</f>
        <v>0</v>
      </c>
      <c r="F21" s="82">
        <f>'r11bP'!BB166</f>
        <v>0</v>
      </c>
      <c r="G21" s="82">
        <f>'r11bP'!BC166</f>
        <v>0</v>
      </c>
      <c r="H21" s="82">
        <f>'r11bP'!BD166</f>
        <v>0</v>
      </c>
      <c r="I21" s="81">
        <f>'r11bP'!BE166</f>
        <v>0</v>
      </c>
    </row>
    <row r="22" spans="1:9" s="384" customFormat="1" ht="13.8" thickBot="1">
      <c r="A22" s="410"/>
      <c r="B22" s="409" t="s">
        <v>69</v>
      </c>
      <c r="C22" s="409"/>
      <c r="D22" s="408"/>
      <c r="E22" s="407">
        <f>SUM(E7:E21)</f>
        <v>0</v>
      </c>
      <c r="F22" s="406">
        <f>SUM(F7:F21)</f>
        <v>0</v>
      </c>
      <c r="G22" s="406">
        <f>SUM(G7:G21)</f>
        <v>0</v>
      </c>
      <c r="H22" s="406">
        <f>SUM(H7:H21)</f>
        <v>0</v>
      </c>
      <c r="I22" s="405">
        <f>SUM(I7:I21)</f>
        <v>0</v>
      </c>
    </row>
    <row r="23" spans="1:9" ht="12.75">
      <c r="A23" s="321"/>
      <c r="B23" s="321"/>
      <c r="C23" s="321"/>
      <c r="D23" s="321"/>
      <c r="E23" s="321"/>
      <c r="F23" s="321"/>
      <c r="G23" s="321"/>
      <c r="H23" s="321"/>
      <c r="I23" s="321"/>
    </row>
    <row r="24" spans="1:57" ht="19.5" customHeight="1">
      <c r="A24" s="403" t="s">
        <v>68</v>
      </c>
      <c r="B24" s="403"/>
      <c r="C24" s="403"/>
      <c r="D24" s="403"/>
      <c r="E24" s="403"/>
      <c r="F24" s="403"/>
      <c r="G24" s="404"/>
      <c r="H24" s="403"/>
      <c r="I24" s="403"/>
      <c r="BA24" s="327"/>
      <c r="BB24" s="327"/>
      <c r="BC24" s="327"/>
      <c r="BD24" s="327"/>
      <c r="BE24" s="327"/>
    </row>
    <row r="25" ht="13.8" thickBot="1"/>
    <row r="26" spans="1:9" ht="12.75">
      <c r="A26" s="356" t="s">
        <v>67</v>
      </c>
      <c r="B26" s="357"/>
      <c r="C26" s="357"/>
      <c r="D26" s="402"/>
      <c r="E26" s="401" t="s">
        <v>65</v>
      </c>
      <c r="F26" s="400" t="s">
        <v>9</v>
      </c>
      <c r="G26" s="399" t="s">
        <v>66</v>
      </c>
      <c r="H26" s="398"/>
      <c r="I26" s="397" t="s">
        <v>65</v>
      </c>
    </row>
    <row r="27" spans="1:53" ht="12.75">
      <c r="A27" s="350" t="s">
        <v>64</v>
      </c>
      <c r="B27" s="341"/>
      <c r="C27" s="341"/>
      <c r="D27" s="396"/>
      <c r="E27" s="395">
        <v>0</v>
      </c>
      <c r="F27" s="394">
        <v>0</v>
      </c>
      <c r="G27" s="393">
        <v>0</v>
      </c>
      <c r="H27" s="392"/>
      <c r="I27" s="391">
        <f aca="true" t="shared" si="0" ref="I27:I34">E27+F27*G27/100</f>
        <v>0</v>
      </c>
      <c r="BA27" s="288">
        <v>0</v>
      </c>
    </row>
    <row r="28" spans="1:53" ht="12.75">
      <c r="A28" s="350" t="s">
        <v>63</v>
      </c>
      <c r="B28" s="341"/>
      <c r="C28" s="341"/>
      <c r="D28" s="396"/>
      <c r="E28" s="395">
        <v>0</v>
      </c>
      <c r="F28" s="394">
        <v>0</v>
      </c>
      <c r="G28" s="393">
        <v>0</v>
      </c>
      <c r="H28" s="392"/>
      <c r="I28" s="391">
        <f t="shared" si="0"/>
        <v>0</v>
      </c>
      <c r="BA28" s="288">
        <v>0</v>
      </c>
    </row>
    <row r="29" spans="1:53" ht="12.75">
      <c r="A29" s="350" t="s">
        <v>62</v>
      </c>
      <c r="B29" s="341"/>
      <c r="C29" s="341"/>
      <c r="D29" s="396"/>
      <c r="E29" s="395">
        <v>0</v>
      </c>
      <c r="F29" s="394">
        <v>0</v>
      </c>
      <c r="G29" s="393">
        <v>0</v>
      </c>
      <c r="H29" s="392"/>
      <c r="I29" s="391">
        <f t="shared" si="0"/>
        <v>0</v>
      </c>
      <c r="BA29" s="288">
        <v>0</v>
      </c>
    </row>
    <row r="30" spans="1:53" ht="12.75">
      <c r="A30" s="350" t="s">
        <v>61</v>
      </c>
      <c r="B30" s="341"/>
      <c r="C30" s="341"/>
      <c r="D30" s="396"/>
      <c r="E30" s="395">
        <v>0</v>
      </c>
      <c r="F30" s="394">
        <v>0</v>
      </c>
      <c r="G30" s="393">
        <v>0</v>
      </c>
      <c r="H30" s="392"/>
      <c r="I30" s="391">
        <f t="shared" si="0"/>
        <v>0</v>
      </c>
      <c r="BA30" s="288">
        <v>0</v>
      </c>
    </row>
    <row r="31" spans="1:53" ht="12.75">
      <c r="A31" s="350" t="s">
        <v>60</v>
      </c>
      <c r="B31" s="341"/>
      <c r="C31" s="341"/>
      <c r="D31" s="396"/>
      <c r="E31" s="395">
        <v>0</v>
      </c>
      <c r="F31" s="394">
        <v>3</v>
      </c>
      <c r="G31" s="393">
        <v>0</v>
      </c>
      <c r="H31" s="392"/>
      <c r="I31" s="391">
        <f t="shared" si="0"/>
        <v>0</v>
      </c>
      <c r="BA31" s="288">
        <v>1</v>
      </c>
    </row>
    <row r="32" spans="1:53" ht="12.75">
      <c r="A32" s="350" t="s">
        <v>59</v>
      </c>
      <c r="B32" s="341"/>
      <c r="C32" s="341"/>
      <c r="D32" s="396"/>
      <c r="E32" s="395">
        <v>0</v>
      </c>
      <c r="F32" s="394">
        <v>0</v>
      </c>
      <c r="G32" s="393">
        <v>0</v>
      </c>
      <c r="H32" s="392"/>
      <c r="I32" s="391">
        <f t="shared" si="0"/>
        <v>0</v>
      </c>
      <c r="BA32" s="288">
        <v>1</v>
      </c>
    </row>
    <row r="33" spans="1:53" ht="12.75">
      <c r="A33" s="350" t="s">
        <v>58</v>
      </c>
      <c r="B33" s="341"/>
      <c r="C33" s="341"/>
      <c r="D33" s="396"/>
      <c r="E33" s="395">
        <v>0</v>
      </c>
      <c r="F33" s="394">
        <v>1.2</v>
      </c>
      <c r="G33" s="393">
        <v>0</v>
      </c>
      <c r="H33" s="392"/>
      <c r="I33" s="391">
        <f t="shared" si="0"/>
        <v>0</v>
      </c>
      <c r="BA33" s="288">
        <v>2</v>
      </c>
    </row>
    <row r="34" spans="1:53" ht="12.75">
      <c r="A34" s="350" t="s">
        <v>41</v>
      </c>
      <c r="B34" s="341"/>
      <c r="C34" s="341"/>
      <c r="D34" s="396"/>
      <c r="E34" s="395">
        <v>0</v>
      </c>
      <c r="F34" s="394">
        <v>0</v>
      </c>
      <c r="G34" s="393">
        <v>0</v>
      </c>
      <c r="H34" s="392"/>
      <c r="I34" s="391">
        <f t="shared" si="0"/>
        <v>0</v>
      </c>
      <c r="BA34" s="288">
        <v>2</v>
      </c>
    </row>
    <row r="35" spans="1:9" ht="13.8" thickBot="1">
      <c r="A35" s="390"/>
      <c r="B35" s="389" t="s">
        <v>57</v>
      </c>
      <c r="C35" s="388"/>
      <c r="D35" s="387"/>
      <c r="E35" s="386"/>
      <c r="F35" s="385"/>
      <c r="G35" s="385"/>
      <c r="H35" s="1619">
        <f>SUM(I27:I34)</f>
        <v>0</v>
      </c>
      <c r="I35" s="1620"/>
    </row>
    <row r="37" spans="2:9" ht="12.75">
      <c r="B37" s="384"/>
      <c r="F37" s="383"/>
      <c r="G37" s="382"/>
      <c r="H37" s="382"/>
      <c r="I37" s="381"/>
    </row>
    <row r="38" spans="6:9" ht="12.75">
      <c r="F38" s="383"/>
      <c r="G38" s="382"/>
      <c r="H38" s="382"/>
      <c r="I38" s="381"/>
    </row>
    <row r="39" spans="6:9" ht="12.75">
      <c r="F39" s="383"/>
      <c r="G39" s="382"/>
      <c r="H39" s="382"/>
      <c r="I39" s="381"/>
    </row>
    <row r="40" spans="6:9" ht="12.75">
      <c r="F40" s="383"/>
      <c r="G40" s="382"/>
      <c r="H40" s="382"/>
      <c r="I40" s="381"/>
    </row>
    <row r="41" spans="6:9" ht="12.75">
      <c r="F41" s="383"/>
      <c r="G41" s="382"/>
      <c r="H41" s="382"/>
      <c r="I41" s="381"/>
    </row>
    <row r="42" spans="6:9" ht="12.75">
      <c r="F42" s="383"/>
      <c r="G42" s="382"/>
      <c r="H42" s="382"/>
      <c r="I42" s="381"/>
    </row>
    <row r="43" spans="6:9" ht="12.75">
      <c r="F43" s="383"/>
      <c r="G43" s="382"/>
      <c r="H43" s="382"/>
      <c r="I43" s="381"/>
    </row>
    <row r="44" spans="6:9" ht="12.75">
      <c r="F44" s="383"/>
      <c r="G44" s="382"/>
      <c r="H44" s="382"/>
      <c r="I44" s="381"/>
    </row>
    <row r="45" spans="6:9" ht="12.75">
      <c r="F45" s="383"/>
      <c r="G45" s="382"/>
      <c r="H45" s="382"/>
      <c r="I45" s="381"/>
    </row>
    <row r="46" spans="6:9" ht="12.75">
      <c r="F46" s="383"/>
      <c r="G46" s="382"/>
      <c r="H46" s="382"/>
      <c r="I46" s="381"/>
    </row>
    <row r="47" spans="6:9" ht="12.75">
      <c r="F47" s="383"/>
      <c r="G47" s="382"/>
      <c r="H47" s="382"/>
      <c r="I47" s="381"/>
    </row>
    <row r="48" spans="6:9" ht="12.75">
      <c r="F48" s="383"/>
      <c r="G48" s="382"/>
      <c r="H48" s="382"/>
      <c r="I48" s="381"/>
    </row>
    <row r="49" spans="6:9" ht="12.75">
      <c r="F49" s="383"/>
      <c r="G49" s="382"/>
      <c r="H49" s="382"/>
      <c r="I49" s="381"/>
    </row>
    <row r="50" spans="6:9" ht="12.75">
      <c r="F50" s="383"/>
      <c r="G50" s="382"/>
      <c r="H50" s="382"/>
      <c r="I50" s="381"/>
    </row>
    <row r="51" spans="6:9" ht="12.75">
      <c r="F51" s="383"/>
      <c r="G51" s="382"/>
      <c r="H51" s="382"/>
      <c r="I51" s="381"/>
    </row>
    <row r="52" spans="6:9" ht="12.75">
      <c r="F52" s="383"/>
      <c r="G52" s="382"/>
      <c r="H52" s="382"/>
      <c r="I52" s="381"/>
    </row>
    <row r="53" spans="6:9" ht="12.75">
      <c r="F53" s="383"/>
      <c r="G53" s="382"/>
      <c r="H53" s="382"/>
      <c r="I53" s="381"/>
    </row>
    <row r="54" spans="6:9" ht="12.75">
      <c r="F54" s="383"/>
      <c r="G54" s="382"/>
      <c r="H54" s="382"/>
      <c r="I54" s="381"/>
    </row>
    <row r="55" spans="6:9" ht="12.75">
      <c r="F55" s="383"/>
      <c r="G55" s="382"/>
      <c r="H55" s="382"/>
      <c r="I55" s="381"/>
    </row>
    <row r="56" spans="6:9" ht="12.75">
      <c r="F56" s="383"/>
      <c r="G56" s="382"/>
      <c r="H56" s="382"/>
      <c r="I56" s="381"/>
    </row>
    <row r="57" spans="6:9" ht="12.75">
      <c r="F57" s="383"/>
      <c r="G57" s="382"/>
      <c r="H57" s="382"/>
      <c r="I57" s="381"/>
    </row>
    <row r="58" spans="6:9" ht="12.75">
      <c r="F58" s="383"/>
      <c r="G58" s="382"/>
      <c r="H58" s="382"/>
      <c r="I58" s="381"/>
    </row>
    <row r="59" spans="6:9" ht="12.75">
      <c r="F59" s="383"/>
      <c r="G59" s="382"/>
      <c r="H59" s="382"/>
      <c r="I59" s="381"/>
    </row>
    <row r="60" spans="6:9" ht="12.75">
      <c r="F60" s="383"/>
      <c r="G60" s="382"/>
      <c r="H60" s="382"/>
      <c r="I60" s="381"/>
    </row>
    <row r="61" spans="6:9" ht="12.75">
      <c r="F61" s="383"/>
      <c r="G61" s="382"/>
      <c r="H61" s="382"/>
      <c r="I61" s="381"/>
    </row>
    <row r="62" spans="6:9" ht="12.75">
      <c r="F62" s="383"/>
      <c r="G62" s="382"/>
      <c r="H62" s="382"/>
      <c r="I62" s="381"/>
    </row>
    <row r="63" spans="6:9" ht="12.75">
      <c r="F63" s="383"/>
      <c r="G63" s="382"/>
      <c r="H63" s="382"/>
      <c r="I63" s="381"/>
    </row>
    <row r="64" spans="6:9" ht="12.75">
      <c r="F64" s="383"/>
      <c r="G64" s="382"/>
      <c r="H64" s="382"/>
      <c r="I64" s="381"/>
    </row>
    <row r="65" spans="6:9" ht="12.75">
      <c r="F65" s="383"/>
      <c r="G65" s="382"/>
      <c r="H65" s="382"/>
      <c r="I65" s="381"/>
    </row>
    <row r="66" spans="6:9" ht="12.75">
      <c r="F66" s="383"/>
      <c r="G66" s="382"/>
      <c r="H66" s="382"/>
      <c r="I66" s="381"/>
    </row>
    <row r="67" spans="6:9" ht="12.75">
      <c r="F67" s="383"/>
      <c r="G67" s="382"/>
      <c r="H67" s="382"/>
      <c r="I67" s="381"/>
    </row>
    <row r="68" spans="6:9" ht="12.75">
      <c r="F68" s="383"/>
      <c r="G68" s="382"/>
      <c r="H68" s="382"/>
      <c r="I68" s="381"/>
    </row>
    <row r="69" spans="6:9" ht="12.75">
      <c r="F69" s="383"/>
      <c r="G69" s="382"/>
      <c r="H69" s="382"/>
      <c r="I69" s="381"/>
    </row>
    <row r="70" spans="6:9" ht="12.75">
      <c r="F70" s="383"/>
      <c r="G70" s="382"/>
      <c r="H70" s="382"/>
      <c r="I70" s="381"/>
    </row>
    <row r="71" spans="6:9" ht="12.75">
      <c r="F71" s="383"/>
      <c r="G71" s="382"/>
      <c r="H71" s="382"/>
      <c r="I71" s="381"/>
    </row>
    <row r="72" spans="6:9" ht="12.75">
      <c r="F72" s="383"/>
      <c r="G72" s="382"/>
      <c r="H72" s="382"/>
      <c r="I72" s="381"/>
    </row>
    <row r="73" spans="6:9" ht="12.75">
      <c r="F73" s="383"/>
      <c r="G73" s="382"/>
      <c r="H73" s="382"/>
      <c r="I73" s="381"/>
    </row>
    <row r="74" spans="6:9" ht="12.75">
      <c r="F74" s="383"/>
      <c r="G74" s="382"/>
      <c r="H74" s="382"/>
      <c r="I74" s="381"/>
    </row>
    <row r="75" spans="6:9" ht="12.75">
      <c r="F75" s="383"/>
      <c r="G75" s="382"/>
      <c r="H75" s="382"/>
      <c r="I75" s="381"/>
    </row>
    <row r="76" spans="6:9" ht="12.75">
      <c r="F76" s="383"/>
      <c r="G76" s="382"/>
      <c r="H76" s="382"/>
      <c r="I76" s="381"/>
    </row>
    <row r="77" spans="6:9" ht="12.75">
      <c r="F77" s="383"/>
      <c r="G77" s="382"/>
      <c r="H77" s="382"/>
      <c r="I77" s="381"/>
    </row>
    <row r="78" spans="6:9" ht="12.75">
      <c r="F78" s="383"/>
      <c r="G78" s="382"/>
      <c r="H78" s="382"/>
      <c r="I78" s="381"/>
    </row>
    <row r="79" spans="6:9" ht="12.75">
      <c r="F79" s="383"/>
      <c r="G79" s="382"/>
      <c r="H79" s="382"/>
      <c r="I79" s="381"/>
    </row>
    <row r="80" spans="6:9" ht="12.75">
      <c r="F80" s="383"/>
      <c r="G80" s="382"/>
      <c r="H80" s="382"/>
      <c r="I80" s="381"/>
    </row>
    <row r="81" spans="6:9" ht="12.75">
      <c r="F81" s="383"/>
      <c r="G81" s="382"/>
      <c r="H81" s="382"/>
      <c r="I81" s="381"/>
    </row>
    <row r="82" spans="6:9" ht="12.75">
      <c r="F82" s="383"/>
      <c r="G82" s="382"/>
      <c r="H82" s="382"/>
      <c r="I82" s="381"/>
    </row>
    <row r="83" spans="6:9" ht="12.75">
      <c r="F83" s="383"/>
      <c r="G83" s="382"/>
      <c r="H83" s="382"/>
      <c r="I83" s="381"/>
    </row>
    <row r="84" spans="6:9" ht="12.75">
      <c r="F84" s="383"/>
      <c r="G84" s="382"/>
      <c r="H84" s="382"/>
      <c r="I84" s="381"/>
    </row>
    <row r="85" spans="6:9" ht="12.75">
      <c r="F85" s="383"/>
      <c r="G85" s="382"/>
      <c r="H85" s="382"/>
      <c r="I85" s="381"/>
    </row>
    <row r="86" spans="6:9" ht="12.75">
      <c r="F86" s="383"/>
      <c r="G86" s="382"/>
      <c r="H86" s="382"/>
      <c r="I86" s="381"/>
    </row>
  </sheetData>
  <mergeCells count="4">
    <mergeCell ref="A1:B1"/>
    <mergeCell ref="A2:B2"/>
    <mergeCell ref="G2:I2"/>
    <mergeCell ref="H35:I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9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579" t="s">
        <v>2</v>
      </c>
      <c r="B1" s="1580"/>
      <c r="C1" s="102" t="str">
        <f>CONCATENATE(cislostavby," ",nazevstavby)</f>
        <v>2013/88 Lednice zahrady</v>
      </c>
      <c r="D1" s="100"/>
      <c r="E1" s="101"/>
      <c r="F1" s="100"/>
      <c r="G1" s="99" t="s">
        <v>81</v>
      </c>
      <c r="H1" s="98"/>
      <c r="I1" s="97"/>
    </row>
    <row r="2" spans="1:9" ht="13.8" thickBot="1">
      <c r="A2" s="1581" t="s">
        <v>79</v>
      </c>
      <c r="B2" s="1582"/>
      <c r="C2" s="96" t="str">
        <f>CONCATENATE(cisloobjektu," ",nazevobjektu)</f>
        <v>01 Demolice</v>
      </c>
      <c r="D2" s="94"/>
      <c r="E2" s="95"/>
      <c r="F2" s="94"/>
      <c r="G2" s="1583" t="s">
        <v>282</v>
      </c>
      <c r="H2" s="1584"/>
      <c r="I2" s="1585"/>
    </row>
    <row r="3" spans="1:9" ht="13.8" thickTop="1">
      <c r="A3" s="1"/>
      <c r="B3" s="1"/>
      <c r="C3" s="1"/>
      <c r="D3" s="1"/>
      <c r="E3" s="1"/>
      <c r="F3" s="74"/>
      <c r="G3" s="1"/>
      <c r="H3" s="1"/>
      <c r="I3" s="1"/>
    </row>
    <row r="4" spans="1:9" ht="19.5" customHeight="1">
      <c r="A4" s="93" t="s">
        <v>76</v>
      </c>
      <c r="B4" s="72"/>
      <c r="C4" s="72"/>
      <c r="D4" s="72"/>
      <c r="E4" s="92"/>
      <c r="F4" s="72"/>
      <c r="G4" s="72"/>
      <c r="H4" s="72"/>
      <c r="I4" s="72"/>
    </row>
    <row r="5" spans="1:9" ht="13.8" thickBot="1">
      <c r="A5" s="1"/>
      <c r="B5" s="1"/>
      <c r="C5" s="1"/>
      <c r="D5" s="1"/>
      <c r="E5" s="1"/>
      <c r="F5" s="1"/>
      <c r="G5" s="1"/>
      <c r="H5" s="1"/>
      <c r="I5" s="1"/>
    </row>
    <row r="6" spans="1:9" s="256" customFormat="1" ht="13.8" thickBot="1">
      <c r="A6" s="91"/>
      <c r="B6" s="90" t="s">
        <v>75</v>
      </c>
      <c r="C6" s="90"/>
      <c r="D6" s="89"/>
      <c r="E6" s="88" t="s">
        <v>74</v>
      </c>
      <c r="F6" s="87" t="s">
        <v>73</v>
      </c>
      <c r="G6" s="87" t="s">
        <v>72</v>
      </c>
      <c r="H6" s="87" t="s">
        <v>71</v>
      </c>
      <c r="I6" s="86" t="s">
        <v>70</v>
      </c>
    </row>
    <row r="7" spans="1:9" s="256" customFormat="1" ht="12.75">
      <c r="A7" s="85" t="str">
        <f>'z01P'!B7</f>
        <v>1</v>
      </c>
      <c r="B7" s="35" t="str">
        <f>'z01P'!C7</f>
        <v>Zemní práce</v>
      </c>
      <c r="C7" s="74"/>
      <c r="D7" s="84"/>
      <c r="E7" s="83">
        <f>'z01P'!BA36</f>
        <v>0</v>
      </c>
      <c r="F7" s="82">
        <f>'z01P'!BB36</f>
        <v>0</v>
      </c>
      <c r="G7" s="82">
        <f>'z01P'!BC36</f>
        <v>0</v>
      </c>
      <c r="H7" s="82">
        <f>'z01P'!BD36</f>
        <v>0</v>
      </c>
      <c r="I7" s="81">
        <f>'z01P'!BE36</f>
        <v>0</v>
      </c>
    </row>
    <row r="8" spans="1:9" s="256" customFormat="1" ht="12.75">
      <c r="A8" s="85" t="str">
        <f>'z01P'!B37</f>
        <v>2</v>
      </c>
      <c r="B8" s="35" t="str">
        <f>'z01P'!C37</f>
        <v>Základy a zvláštní zakládání</v>
      </c>
      <c r="C8" s="74"/>
      <c r="D8" s="84"/>
      <c r="E8" s="83">
        <f>'z01P'!BA40</f>
        <v>0</v>
      </c>
      <c r="F8" s="82">
        <f>'z01P'!BB40</f>
        <v>0</v>
      </c>
      <c r="G8" s="82">
        <f>'z01P'!BC40</f>
        <v>0</v>
      </c>
      <c r="H8" s="82">
        <f>'z01P'!BD40</f>
        <v>0</v>
      </c>
      <c r="I8" s="81">
        <f>'z01P'!BE40</f>
        <v>0</v>
      </c>
    </row>
    <row r="9" spans="1:9" s="256" customFormat="1" ht="12.75">
      <c r="A9" s="85" t="str">
        <f>'z01P'!B41</f>
        <v>3</v>
      </c>
      <c r="B9" s="35" t="str">
        <f>'z01P'!C41</f>
        <v>Svislé a kompletní konstrukce</v>
      </c>
      <c r="C9" s="74"/>
      <c r="D9" s="84"/>
      <c r="E9" s="83">
        <f>'z01P'!BA46</f>
        <v>0</v>
      </c>
      <c r="F9" s="82">
        <f>'z01P'!BB46</f>
        <v>0</v>
      </c>
      <c r="G9" s="82">
        <f>'z01P'!BC46</f>
        <v>0</v>
      </c>
      <c r="H9" s="82">
        <f>'z01P'!BD46</f>
        <v>0</v>
      </c>
      <c r="I9" s="81">
        <f>'z01P'!BE46</f>
        <v>0</v>
      </c>
    </row>
    <row r="10" spans="1:9" s="256" customFormat="1" ht="12.75">
      <c r="A10" s="85" t="str">
        <f>'z01P'!B47</f>
        <v>96</v>
      </c>
      <c r="B10" s="35" t="str">
        <f>'z01P'!C47</f>
        <v>Bourání konstrukcí</v>
      </c>
      <c r="C10" s="74"/>
      <c r="D10" s="84"/>
      <c r="E10" s="83">
        <f>'z01P'!BA65</f>
        <v>0</v>
      </c>
      <c r="F10" s="82">
        <f>'z01P'!BB65</f>
        <v>0</v>
      </c>
      <c r="G10" s="82">
        <f>'z01P'!BC65</f>
        <v>0</v>
      </c>
      <c r="H10" s="82">
        <f>'z01P'!BD65</f>
        <v>0</v>
      </c>
      <c r="I10" s="81">
        <f>'z01P'!BE65</f>
        <v>0</v>
      </c>
    </row>
    <row r="11" spans="1:9" s="256" customFormat="1" ht="12.75">
      <c r="A11" s="85" t="str">
        <f>'z01P'!B66</f>
        <v>99</v>
      </c>
      <c r="B11" s="35" t="str">
        <f>'z01P'!C66</f>
        <v>Staveništní přesun hmot</v>
      </c>
      <c r="C11" s="74"/>
      <c r="D11" s="84"/>
      <c r="E11" s="83">
        <f>'z01P'!BA68</f>
        <v>0</v>
      </c>
      <c r="F11" s="82">
        <f>'z01P'!BB68</f>
        <v>0</v>
      </c>
      <c r="G11" s="82">
        <f>'z01P'!BC68</f>
        <v>0</v>
      </c>
      <c r="H11" s="82">
        <f>'z01P'!BD68</f>
        <v>0</v>
      </c>
      <c r="I11" s="81">
        <f>'z01P'!BE68</f>
        <v>0</v>
      </c>
    </row>
    <row r="12" spans="1:9" s="256" customFormat="1" ht="12.75">
      <c r="A12" s="85" t="str">
        <f>'z01P'!B69</f>
        <v>762</v>
      </c>
      <c r="B12" s="35" t="str">
        <f>'z01P'!C69</f>
        <v>Konstrukce tesařské</v>
      </c>
      <c r="C12" s="74"/>
      <c r="D12" s="84"/>
      <c r="E12" s="83">
        <f>'z01P'!BA76</f>
        <v>0</v>
      </c>
      <c r="F12" s="82">
        <f>'z01P'!BB76</f>
        <v>0</v>
      </c>
      <c r="G12" s="82">
        <f>'z01P'!BC76</f>
        <v>0</v>
      </c>
      <c r="H12" s="82">
        <f>'z01P'!BD76</f>
        <v>0</v>
      </c>
      <c r="I12" s="81">
        <f>'z01P'!BE76</f>
        <v>0</v>
      </c>
    </row>
    <row r="13" spans="1:9" s="256" customFormat="1" ht="12.75">
      <c r="A13" s="85" t="str">
        <f>'z01P'!B77</f>
        <v>764</v>
      </c>
      <c r="B13" s="35" t="str">
        <f>'z01P'!C77</f>
        <v>Konstrukce klempířské</v>
      </c>
      <c r="C13" s="74"/>
      <c r="D13" s="84"/>
      <c r="E13" s="83">
        <f>'z01P'!BA83</f>
        <v>0</v>
      </c>
      <c r="F13" s="82">
        <f>'z01P'!BB83</f>
        <v>0</v>
      </c>
      <c r="G13" s="82">
        <f>'z01P'!BC83</f>
        <v>0</v>
      </c>
      <c r="H13" s="82">
        <f>'z01P'!BD83</f>
        <v>0</v>
      </c>
      <c r="I13" s="81">
        <f>'z01P'!BE83</f>
        <v>0</v>
      </c>
    </row>
    <row r="14" spans="1:9" s="256" customFormat="1" ht="13.8" thickBot="1">
      <c r="A14" s="85" t="str">
        <f>'z01P'!B84</f>
        <v>D96</v>
      </c>
      <c r="B14" s="35" t="str">
        <f>'z01P'!C84</f>
        <v>Přesuny suti a vybouraných hmot</v>
      </c>
      <c r="C14" s="74"/>
      <c r="D14" s="84"/>
      <c r="E14" s="83">
        <f>'z01P'!BA90</f>
        <v>0</v>
      </c>
      <c r="F14" s="82">
        <f>'z01P'!BB90</f>
        <v>0</v>
      </c>
      <c r="G14" s="82">
        <f>'z01P'!BC90</f>
        <v>0</v>
      </c>
      <c r="H14" s="82">
        <f>'z01P'!BD90</f>
        <v>0</v>
      </c>
      <c r="I14" s="81">
        <f>'z01P'!BE90</f>
        <v>0</v>
      </c>
    </row>
    <row r="15" spans="1:9" s="262" customFormat="1" ht="13.8" thickBot="1">
      <c r="A15" s="80"/>
      <c r="B15" s="79" t="s">
        <v>69</v>
      </c>
      <c r="C15" s="79"/>
      <c r="D15" s="78"/>
      <c r="E15" s="77">
        <f>SUM(E7:E14)</f>
        <v>0</v>
      </c>
      <c r="F15" s="76">
        <f>SUM(F7:F14)</f>
        <v>0</v>
      </c>
      <c r="G15" s="76">
        <f>SUM(G7:G14)</f>
        <v>0</v>
      </c>
      <c r="H15" s="76">
        <f>SUM(H7:H14)</f>
        <v>0</v>
      </c>
      <c r="I15" s="75">
        <f>SUM(I7:I14)</f>
        <v>0</v>
      </c>
    </row>
    <row r="16" spans="1:9" ht="12.75">
      <c r="A16" s="74"/>
      <c r="B16" s="74"/>
      <c r="C16" s="74"/>
      <c r="D16" s="74"/>
      <c r="E16" s="74"/>
      <c r="F16" s="74"/>
      <c r="G16" s="74"/>
      <c r="H16" s="74"/>
      <c r="I16" s="74"/>
    </row>
    <row r="17" spans="1:57" ht="19.5" customHeight="1">
      <c r="A17" s="72" t="s">
        <v>68</v>
      </c>
      <c r="B17" s="72"/>
      <c r="C17" s="72"/>
      <c r="D17" s="72"/>
      <c r="E17" s="72"/>
      <c r="F17" s="72"/>
      <c r="G17" s="73"/>
      <c r="H17" s="72"/>
      <c r="I17" s="72"/>
      <c r="BA17" s="258"/>
      <c r="BB17" s="258"/>
      <c r="BC17" s="258"/>
      <c r="BD17" s="258"/>
      <c r="BE17" s="258"/>
    </row>
    <row r="18" spans="1:9" ht="13.8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71" t="s">
        <v>67</v>
      </c>
      <c r="B19" s="70"/>
      <c r="C19" s="70"/>
      <c r="D19" s="69"/>
      <c r="E19" s="68" t="s">
        <v>65</v>
      </c>
      <c r="F19" s="67" t="s">
        <v>9</v>
      </c>
      <c r="G19" s="66" t="s">
        <v>66</v>
      </c>
      <c r="H19" s="65"/>
      <c r="I19" s="64" t="s">
        <v>65</v>
      </c>
    </row>
    <row r="20" spans="1:53" ht="12.75">
      <c r="A20" s="63" t="s">
        <v>64</v>
      </c>
      <c r="B20" s="62"/>
      <c r="C20" s="62"/>
      <c r="D20" s="61"/>
      <c r="E20" s="60">
        <v>0</v>
      </c>
      <c r="F20" s="59">
        <v>0</v>
      </c>
      <c r="G20" s="58">
        <f aca="true" t="shared" si="0" ref="G20:G27">CHOOSE(BA20+1,HSV+PSV,HSV+PSV+Mont,HSV+PSV+Dodavka+Mont,HSV,PSV,Mont,Dodavka,Mont+Dodavka,0)</f>
        <v>0</v>
      </c>
      <c r="H20" s="57"/>
      <c r="I20" s="56">
        <f aca="true" t="shared" si="1" ref="I20:I27">E20+F20*G20/100</f>
        <v>0</v>
      </c>
      <c r="BA20">
        <v>0</v>
      </c>
    </row>
    <row r="21" spans="1:53" ht="12.75">
      <c r="A21" s="63" t="s">
        <v>63</v>
      </c>
      <c r="B21" s="62"/>
      <c r="C21" s="62"/>
      <c r="D21" s="61"/>
      <c r="E21" s="60">
        <v>0</v>
      </c>
      <c r="F21" s="59">
        <v>0</v>
      </c>
      <c r="G21" s="58">
        <f t="shared" si="0"/>
        <v>0</v>
      </c>
      <c r="H21" s="57"/>
      <c r="I21" s="56">
        <f t="shared" si="1"/>
        <v>0</v>
      </c>
      <c r="BA21">
        <v>0</v>
      </c>
    </row>
    <row r="22" spans="1:53" ht="12.75">
      <c r="A22" s="63" t="s">
        <v>62</v>
      </c>
      <c r="B22" s="62"/>
      <c r="C22" s="62"/>
      <c r="D22" s="61"/>
      <c r="E22" s="60">
        <v>0</v>
      </c>
      <c r="F22" s="59">
        <v>0</v>
      </c>
      <c r="G22" s="58">
        <f t="shared" si="0"/>
        <v>0</v>
      </c>
      <c r="H22" s="57"/>
      <c r="I22" s="56">
        <f t="shared" si="1"/>
        <v>0</v>
      </c>
      <c r="BA22">
        <v>0</v>
      </c>
    </row>
    <row r="23" spans="1:53" ht="12.75">
      <c r="A23" s="63" t="s">
        <v>61</v>
      </c>
      <c r="B23" s="62"/>
      <c r="C23" s="62"/>
      <c r="D23" s="61"/>
      <c r="E23" s="60">
        <v>0</v>
      </c>
      <c r="F23" s="59">
        <v>0</v>
      </c>
      <c r="G23" s="58">
        <f t="shared" si="0"/>
        <v>0</v>
      </c>
      <c r="H23" s="57"/>
      <c r="I23" s="56">
        <f t="shared" si="1"/>
        <v>0</v>
      </c>
      <c r="BA23">
        <v>0</v>
      </c>
    </row>
    <row r="24" spans="1:53" ht="12.75">
      <c r="A24" s="63" t="s">
        <v>60</v>
      </c>
      <c r="B24" s="62"/>
      <c r="C24" s="62"/>
      <c r="D24" s="61"/>
      <c r="E24" s="60">
        <v>0</v>
      </c>
      <c r="F24" s="59">
        <v>3</v>
      </c>
      <c r="G24" s="58">
        <f t="shared" si="0"/>
        <v>0</v>
      </c>
      <c r="H24" s="57"/>
      <c r="I24" s="56">
        <f t="shared" si="1"/>
        <v>0</v>
      </c>
      <c r="BA24">
        <v>1</v>
      </c>
    </row>
    <row r="25" spans="1:53" ht="12.75">
      <c r="A25" s="63" t="s">
        <v>59</v>
      </c>
      <c r="B25" s="62"/>
      <c r="C25" s="62"/>
      <c r="D25" s="61"/>
      <c r="E25" s="60">
        <v>0</v>
      </c>
      <c r="F25" s="59">
        <v>0</v>
      </c>
      <c r="G25" s="58">
        <f t="shared" si="0"/>
        <v>0</v>
      </c>
      <c r="H25" s="57"/>
      <c r="I25" s="56">
        <f t="shared" si="1"/>
        <v>0</v>
      </c>
      <c r="BA25">
        <v>1</v>
      </c>
    </row>
    <row r="26" spans="1:53" ht="12.75">
      <c r="A26" s="63" t="s">
        <v>58</v>
      </c>
      <c r="B26" s="62"/>
      <c r="C26" s="62"/>
      <c r="D26" s="61"/>
      <c r="E26" s="60">
        <v>0</v>
      </c>
      <c r="F26" s="59">
        <v>1.2</v>
      </c>
      <c r="G26" s="58">
        <f t="shared" si="0"/>
        <v>0</v>
      </c>
      <c r="H26" s="57"/>
      <c r="I26" s="56">
        <f t="shared" si="1"/>
        <v>0</v>
      </c>
      <c r="BA26">
        <v>2</v>
      </c>
    </row>
    <row r="27" spans="1:53" ht="12.75">
      <c r="A27" s="63" t="s">
        <v>41</v>
      </c>
      <c r="B27" s="62"/>
      <c r="C27" s="62"/>
      <c r="D27" s="61"/>
      <c r="E27" s="60">
        <v>0</v>
      </c>
      <c r="F27" s="59">
        <v>0</v>
      </c>
      <c r="G27" s="58">
        <f t="shared" si="0"/>
        <v>0</v>
      </c>
      <c r="H27" s="57"/>
      <c r="I27" s="56">
        <f t="shared" si="1"/>
        <v>0</v>
      </c>
      <c r="BA27">
        <v>2</v>
      </c>
    </row>
    <row r="28" spans="1:9" ht="13.8" thickBot="1">
      <c r="A28" s="55"/>
      <c r="B28" s="54" t="s">
        <v>57</v>
      </c>
      <c r="C28" s="53"/>
      <c r="D28" s="52"/>
      <c r="E28" s="51"/>
      <c r="F28" s="50"/>
      <c r="G28" s="50"/>
      <c r="H28" s="1586">
        <f>SUM(I20:I27)</f>
        <v>0</v>
      </c>
      <c r="I28" s="1587"/>
    </row>
    <row r="30" spans="2:9" ht="12.75">
      <c r="B30" s="262"/>
      <c r="F30" s="263"/>
      <c r="G30" s="264"/>
      <c r="H30" s="264"/>
      <c r="I30" s="265"/>
    </row>
    <row r="31" spans="6:9" ht="12.75">
      <c r="F31" s="263"/>
      <c r="G31" s="264"/>
      <c r="H31" s="264"/>
      <c r="I31" s="265"/>
    </row>
    <row r="32" spans="6:9" ht="12.75">
      <c r="F32" s="263"/>
      <c r="G32" s="264"/>
      <c r="H32" s="264"/>
      <c r="I32" s="265"/>
    </row>
    <row r="33" spans="6:9" ht="12.75">
      <c r="F33" s="263"/>
      <c r="G33" s="264"/>
      <c r="H33" s="264"/>
      <c r="I33" s="265"/>
    </row>
    <row r="34" spans="6:9" ht="12.75">
      <c r="F34" s="263"/>
      <c r="G34" s="264"/>
      <c r="H34" s="264"/>
      <c r="I34" s="265"/>
    </row>
    <row r="35" spans="6:9" ht="12.75">
      <c r="F35" s="263"/>
      <c r="G35" s="264"/>
      <c r="H35" s="264"/>
      <c r="I35" s="265"/>
    </row>
    <row r="36" spans="6:9" ht="12.75">
      <c r="F36" s="263"/>
      <c r="G36" s="264"/>
      <c r="H36" s="264"/>
      <c r="I36" s="265"/>
    </row>
    <row r="37" spans="6:9" ht="12.75">
      <c r="F37" s="263"/>
      <c r="G37" s="264"/>
      <c r="H37" s="264"/>
      <c r="I37" s="265"/>
    </row>
    <row r="38" spans="6:9" ht="12.75">
      <c r="F38" s="263"/>
      <c r="G38" s="264"/>
      <c r="H38" s="264"/>
      <c r="I38" s="265"/>
    </row>
    <row r="39" spans="6:9" ht="12.75">
      <c r="F39" s="263"/>
      <c r="G39" s="264"/>
      <c r="H39" s="264"/>
      <c r="I39" s="265"/>
    </row>
    <row r="40" spans="6:9" ht="12.75">
      <c r="F40" s="263"/>
      <c r="G40" s="264"/>
      <c r="H40" s="264"/>
      <c r="I40" s="265"/>
    </row>
    <row r="41" spans="6:9" ht="12.75">
      <c r="F41" s="263"/>
      <c r="G41" s="264"/>
      <c r="H41" s="264"/>
      <c r="I41" s="265"/>
    </row>
    <row r="42" spans="6:9" ht="12.75">
      <c r="F42" s="263"/>
      <c r="G42" s="264"/>
      <c r="H42" s="264"/>
      <c r="I42" s="265"/>
    </row>
    <row r="43" spans="6:9" ht="12.75">
      <c r="F43" s="263"/>
      <c r="G43" s="264"/>
      <c r="H43" s="264"/>
      <c r="I43" s="265"/>
    </row>
    <row r="44" spans="6:9" ht="12.75">
      <c r="F44" s="263"/>
      <c r="G44" s="264"/>
      <c r="H44" s="264"/>
      <c r="I44" s="265"/>
    </row>
    <row r="45" spans="6:9" ht="12.75">
      <c r="F45" s="263"/>
      <c r="G45" s="264"/>
      <c r="H45" s="264"/>
      <c r="I45" s="265"/>
    </row>
    <row r="46" spans="6:9" ht="12.75">
      <c r="F46" s="263"/>
      <c r="G46" s="264"/>
      <c r="H46" s="264"/>
      <c r="I46" s="265"/>
    </row>
    <row r="47" spans="6:9" ht="12.75">
      <c r="F47" s="263"/>
      <c r="G47" s="264"/>
      <c r="H47" s="264"/>
      <c r="I47" s="265"/>
    </row>
    <row r="48" spans="6:9" ht="12.75">
      <c r="F48" s="263"/>
      <c r="G48" s="264"/>
      <c r="H48" s="264"/>
      <c r="I48" s="265"/>
    </row>
    <row r="49" spans="6:9" ht="12.75">
      <c r="F49" s="263"/>
      <c r="G49" s="264"/>
      <c r="H49" s="264"/>
      <c r="I49" s="265"/>
    </row>
    <row r="50" spans="6:9" ht="12.75">
      <c r="F50" s="263"/>
      <c r="G50" s="264"/>
      <c r="H50" s="264"/>
      <c r="I50" s="265"/>
    </row>
    <row r="51" spans="6:9" ht="12.75">
      <c r="F51" s="263"/>
      <c r="G51" s="264"/>
      <c r="H51" s="264"/>
      <c r="I51" s="265"/>
    </row>
    <row r="52" spans="6:9" ht="12.75">
      <c r="F52" s="263"/>
      <c r="G52" s="264"/>
      <c r="H52" s="264"/>
      <c r="I52" s="265"/>
    </row>
    <row r="53" spans="6:9" ht="12.75">
      <c r="F53" s="263"/>
      <c r="G53" s="264"/>
      <c r="H53" s="264"/>
      <c r="I53" s="265"/>
    </row>
    <row r="54" spans="6:9" ht="12.75">
      <c r="F54" s="263"/>
      <c r="G54" s="264"/>
      <c r="H54" s="264"/>
      <c r="I54" s="265"/>
    </row>
    <row r="55" spans="6:9" ht="12.75">
      <c r="F55" s="263"/>
      <c r="G55" s="264"/>
      <c r="H55" s="264"/>
      <c r="I55" s="265"/>
    </row>
    <row r="56" spans="6:9" ht="12.75">
      <c r="F56" s="263"/>
      <c r="G56" s="264"/>
      <c r="H56" s="264"/>
      <c r="I56" s="265"/>
    </row>
    <row r="57" spans="6:9" ht="12.75">
      <c r="F57" s="263"/>
      <c r="G57" s="264"/>
      <c r="H57" s="264"/>
      <c r="I57" s="265"/>
    </row>
    <row r="58" spans="6:9" ht="12.75">
      <c r="F58" s="263"/>
      <c r="G58" s="264"/>
      <c r="H58" s="264"/>
      <c r="I58" s="265"/>
    </row>
    <row r="59" spans="6:9" ht="12.75">
      <c r="F59" s="263"/>
      <c r="G59" s="264"/>
      <c r="H59" s="264"/>
      <c r="I59" s="265"/>
    </row>
    <row r="60" spans="6:9" ht="12.75">
      <c r="F60" s="263"/>
      <c r="G60" s="264"/>
      <c r="H60" s="264"/>
      <c r="I60" s="265"/>
    </row>
    <row r="61" spans="6:9" ht="12.75">
      <c r="F61" s="263"/>
      <c r="G61" s="264"/>
      <c r="H61" s="264"/>
      <c r="I61" s="265"/>
    </row>
    <row r="62" spans="6:9" ht="12.75">
      <c r="F62" s="263"/>
      <c r="G62" s="264"/>
      <c r="H62" s="264"/>
      <c r="I62" s="265"/>
    </row>
    <row r="63" spans="6:9" ht="12.75">
      <c r="F63" s="263"/>
      <c r="G63" s="264"/>
      <c r="H63" s="264"/>
      <c r="I63" s="265"/>
    </row>
    <row r="64" spans="6:9" ht="12.75">
      <c r="F64" s="263"/>
      <c r="G64" s="264"/>
      <c r="H64" s="264"/>
      <c r="I64" s="265"/>
    </row>
    <row r="65" spans="6:9" ht="12.75">
      <c r="F65" s="263"/>
      <c r="G65" s="264"/>
      <c r="H65" s="264"/>
      <c r="I65" s="265"/>
    </row>
    <row r="66" spans="6:9" ht="12.75">
      <c r="F66" s="263"/>
      <c r="G66" s="264"/>
      <c r="H66" s="264"/>
      <c r="I66" s="265"/>
    </row>
    <row r="67" spans="6:9" ht="12.75">
      <c r="F67" s="263"/>
      <c r="G67" s="264"/>
      <c r="H67" s="264"/>
      <c r="I67" s="265"/>
    </row>
    <row r="68" spans="6:9" ht="12.75">
      <c r="F68" s="263"/>
      <c r="G68" s="264"/>
      <c r="H68" s="264"/>
      <c r="I68" s="265"/>
    </row>
    <row r="69" spans="6:9" ht="12.75">
      <c r="F69" s="263"/>
      <c r="G69" s="264"/>
      <c r="H69" s="264"/>
      <c r="I69" s="265"/>
    </row>
    <row r="70" spans="6:9" ht="12.75">
      <c r="F70" s="263"/>
      <c r="G70" s="264"/>
      <c r="H70" s="264"/>
      <c r="I70" s="265"/>
    </row>
    <row r="71" spans="6:9" ht="12.75">
      <c r="F71" s="263"/>
      <c r="G71" s="264"/>
      <c r="H71" s="264"/>
      <c r="I71" s="265"/>
    </row>
    <row r="72" spans="6:9" ht="12.75">
      <c r="F72" s="263"/>
      <c r="G72" s="264"/>
      <c r="H72" s="264"/>
      <c r="I72" s="265"/>
    </row>
    <row r="73" spans="6:9" ht="12.75">
      <c r="F73" s="263"/>
      <c r="G73" s="264"/>
      <c r="H73" s="264"/>
      <c r="I73" s="265"/>
    </row>
    <row r="74" spans="6:9" ht="12.75">
      <c r="F74" s="263"/>
      <c r="G74" s="264"/>
      <c r="H74" s="264"/>
      <c r="I74" s="265"/>
    </row>
    <row r="75" spans="6:9" ht="12.75">
      <c r="F75" s="263"/>
      <c r="G75" s="264"/>
      <c r="H75" s="264"/>
      <c r="I75" s="265"/>
    </row>
    <row r="76" spans="6:9" ht="12.75">
      <c r="F76" s="263"/>
      <c r="G76" s="264"/>
      <c r="H76" s="264"/>
      <c r="I76" s="265"/>
    </row>
    <row r="77" spans="6:9" ht="12.75">
      <c r="F77" s="263"/>
      <c r="G77" s="264"/>
      <c r="H77" s="264"/>
      <c r="I77" s="265"/>
    </row>
    <row r="78" spans="6:9" ht="12.75">
      <c r="F78" s="263"/>
      <c r="G78" s="264"/>
      <c r="H78" s="264"/>
      <c r="I78" s="265"/>
    </row>
    <row r="79" spans="6:9" ht="12.75">
      <c r="F79" s="263"/>
      <c r="G79" s="264"/>
      <c r="H79" s="264"/>
      <c r="I79" s="265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CB239"/>
  <sheetViews>
    <sheetView showGridLines="0" showZeros="0" zoomScaleSheetLayoutView="100" workbookViewId="0" topLeftCell="A127">
      <selection activeCell="C171" sqref="C171"/>
    </sheetView>
  </sheetViews>
  <sheetFormatPr defaultColWidth="9.125" defaultRowHeight="12.75"/>
  <cols>
    <col min="1" max="1" width="4.50390625" style="434" customWidth="1"/>
    <col min="2" max="2" width="11.50390625" style="434" customWidth="1"/>
    <col min="3" max="3" width="40.50390625" style="434" customWidth="1"/>
    <col min="4" max="4" width="5.50390625" style="434" customWidth="1"/>
    <col min="5" max="5" width="8.50390625" style="435" customWidth="1"/>
    <col min="6" max="6" width="9.875" style="434" customWidth="1"/>
    <col min="7" max="7" width="13.875" style="434" customWidth="1"/>
    <col min="8" max="8" width="11.625" style="434" hidden="1" customWidth="1"/>
    <col min="9" max="9" width="11.50390625" style="434" hidden="1" customWidth="1"/>
    <col min="10" max="10" width="11.00390625" style="434" customWidth="1"/>
    <col min="11" max="11" width="10.50390625" style="434" customWidth="1"/>
    <col min="12" max="12" width="75.50390625" style="434" customWidth="1"/>
    <col min="13" max="13" width="45.375" style="434" customWidth="1"/>
    <col min="14" max="256" width="9.125" style="434" customWidth="1"/>
    <col min="257" max="257" width="4.50390625" style="434" customWidth="1"/>
    <col min="258" max="258" width="11.50390625" style="434" customWidth="1"/>
    <col min="259" max="259" width="40.50390625" style="434" customWidth="1"/>
    <col min="260" max="260" width="5.50390625" style="434" customWidth="1"/>
    <col min="261" max="261" width="8.50390625" style="434" customWidth="1"/>
    <col min="262" max="262" width="9.875" style="434" customWidth="1"/>
    <col min="263" max="263" width="13.875" style="434" customWidth="1"/>
    <col min="264" max="265" width="9.125" style="434" hidden="1" customWidth="1"/>
    <col min="266" max="266" width="11.00390625" style="434" customWidth="1"/>
    <col min="267" max="267" width="10.50390625" style="434" customWidth="1"/>
    <col min="268" max="268" width="75.50390625" style="434" customWidth="1"/>
    <col min="269" max="269" width="45.375" style="434" customWidth="1"/>
    <col min="270" max="512" width="9.125" style="434" customWidth="1"/>
    <col min="513" max="513" width="4.50390625" style="434" customWidth="1"/>
    <col min="514" max="514" width="11.50390625" style="434" customWidth="1"/>
    <col min="515" max="515" width="40.50390625" style="434" customWidth="1"/>
    <col min="516" max="516" width="5.50390625" style="434" customWidth="1"/>
    <col min="517" max="517" width="8.50390625" style="434" customWidth="1"/>
    <col min="518" max="518" width="9.875" style="434" customWidth="1"/>
    <col min="519" max="519" width="13.875" style="434" customWidth="1"/>
    <col min="520" max="521" width="9.125" style="434" hidden="1" customWidth="1"/>
    <col min="522" max="522" width="11.00390625" style="434" customWidth="1"/>
    <col min="523" max="523" width="10.50390625" style="434" customWidth="1"/>
    <col min="524" max="524" width="75.50390625" style="434" customWidth="1"/>
    <col min="525" max="525" width="45.375" style="434" customWidth="1"/>
    <col min="526" max="768" width="9.125" style="434" customWidth="1"/>
    <col min="769" max="769" width="4.50390625" style="434" customWidth="1"/>
    <col min="770" max="770" width="11.50390625" style="434" customWidth="1"/>
    <col min="771" max="771" width="40.50390625" style="434" customWidth="1"/>
    <col min="772" max="772" width="5.50390625" style="434" customWidth="1"/>
    <col min="773" max="773" width="8.50390625" style="434" customWidth="1"/>
    <col min="774" max="774" width="9.875" style="434" customWidth="1"/>
    <col min="775" max="775" width="13.875" style="434" customWidth="1"/>
    <col min="776" max="777" width="9.125" style="434" hidden="1" customWidth="1"/>
    <col min="778" max="778" width="11.00390625" style="434" customWidth="1"/>
    <col min="779" max="779" width="10.50390625" style="434" customWidth="1"/>
    <col min="780" max="780" width="75.50390625" style="434" customWidth="1"/>
    <col min="781" max="781" width="45.375" style="434" customWidth="1"/>
    <col min="782" max="1024" width="9.125" style="434" customWidth="1"/>
    <col min="1025" max="1025" width="4.50390625" style="434" customWidth="1"/>
    <col min="1026" max="1026" width="11.50390625" style="434" customWidth="1"/>
    <col min="1027" max="1027" width="40.50390625" style="434" customWidth="1"/>
    <col min="1028" max="1028" width="5.50390625" style="434" customWidth="1"/>
    <col min="1029" max="1029" width="8.50390625" style="434" customWidth="1"/>
    <col min="1030" max="1030" width="9.875" style="434" customWidth="1"/>
    <col min="1031" max="1031" width="13.875" style="434" customWidth="1"/>
    <col min="1032" max="1033" width="9.125" style="434" hidden="1" customWidth="1"/>
    <col min="1034" max="1034" width="11.00390625" style="434" customWidth="1"/>
    <col min="1035" max="1035" width="10.50390625" style="434" customWidth="1"/>
    <col min="1036" max="1036" width="75.50390625" style="434" customWidth="1"/>
    <col min="1037" max="1037" width="45.375" style="434" customWidth="1"/>
    <col min="1038" max="1280" width="9.125" style="434" customWidth="1"/>
    <col min="1281" max="1281" width="4.50390625" style="434" customWidth="1"/>
    <col min="1282" max="1282" width="11.50390625" style="434" customWidth="1"/>
    <col min="1283" max="1283" width="40.50390625" style="434" customWidth="1"/>
    <col min="1284" max="1284" width="5.50390625" style="434" customWidth="1"/>
    <col min="1285" max="1285" width="8.50390625" style="434" customWidth="1"/>
    <col min="1286" max="1286" width="9.875" style="434" customWidth="1"/>
    <col min="1287" max="1287" width="13.875" style="434" customWidth="1"/>
    <col min="1288" max="1289" width="9.125" style="434" hidden="1" customWidth="1"/>
    <col min="1290" max="1290" width="11.00390625" style="434" customWidth="1"/>
    <col min="1291" max="1291" width="10.50390625" style="434" customWidth="1"/>
    <col min="1292" max="1292" width="75.50390625" style="434" customWidth="1"/>
    <col min="1293" max="1293" width="45.375" style="434" customWidth="1"/>
    <col min="1294" max="1536" width="9.125" style="434" customWidth="1"/>
    <col min="1537" max="1537" width="4.50390625" style="434" customWidth="1"/>
    <col min="1538" max="1538" width="11.50390625" style="434" customWidth="1"/>
    <col min="1539" max="1539" width="40.50390625" style="434" customWidth="1"/>
    <col min="1540" max="1540" width="5.50390625" style="434" customWidth="1"/>
    <col min="1541" max="1541" width="8.50390625" style="434" customWidth="1"/>
    <col min="1542" max="1542" width="9.875" style="434" customWidth="1"/>
    <col min="1543" max="1543" width="13.875" style="434" customWidth="1"/>
    <col min="1544" max="1545" width="9.125" style="434" hidden="1" customWidth="1"/>
    <col min="1546" max="1546" width="11.00390625" style="434" customWidth="1"/>
    <col min="1547" max="1547" width="10.50390625" style="434" customWidth="1"/>
    <col min="1548" max="1548" width="75.50390625" style="434" customWidth="1"/>
    <col min="1549" max="1549" width="45.375" style="434" customWidth="1"/>
    <col min="1550" max="1792" width="9.125" style="434" customWidth="1"/>
    <col min="1793" max="1793" width="4.50390625" style="434" customWidth="1"/>
    <col min="1794" max="1794" width="11.50390625" style="434" customWidth="1"/>
    <col min="1795" max="1795" width="40.50390625" style="434" customWidth="1"/>
    <col min="1796" max="1796" width="5.50390625" style="434" customWidth="1"/>
    <col min="1797" max="1797" width="8.50390625" style="434" customWidth="1"/>
    <col min="1798" max="1798" width="9.875" style="434" customWidth="1"/>
    <col min="1799" max="1799" width="13.875" style="434" customWidth="1"/>
    <col min="1800" max="1801" width="9.125" style="434" hidden="1" customWidth="1"/>
    <col min="1802" max="1802" width="11.00390625" style="434" customWidth="1"/>
    <col min="1803" max="1803" width="10.50390625" style="434" customWidth="1"/>
    <col min="1804" max="1804" width="75.50390625" style="434" customWidth="1"/>
    <col min="1805" max="1805" width="45.375" style="434" customWidth="1"/>
    <col min="1806" max="2048" width="9.125" style="434" customWidth="1"/>
    <col min="2049" max="2049" width="4.50390625" style="434" customWidth="1"/>
    <col min="2050" max="2050" width="11.50390625" style="434" customWidth="1"/>
    <col min="2051" max="2051" width="40.50390625" style="434" customWidth="1"/>
    <col min="2052" max="2052" width="5.50390625" style="434" customWidth="1"/>
    <col min="2053" max="2053" width="8.50390625" style="434" customWidth="1"/>
    <col min="2054" max="2054" width="9.875" style="434" customWidth="1"/>
    <col min="2055" max="2055" width="13.875" style="434" customWidth="1"/>
    <col min="2056" max="2057" width="9.125" style="434" hidden="1" customWidth="1"/>
    <col min="2058" max="2058" width="11.00390625" style="434" customWidth="1"/>
    <col min="2059" max="2059" width="10.50390625" style="434" customWidth="1"/>
    <col min="2060" max="2060" width="75.50390625" style="434" customWidth="1"/>
    <col min="2061" max="2061" width="45.375" style="434" customWidth="1"/>
    <col min="2062" max="2304" width="9.125" style="434" customWidth="1"/>
    <col min="2305" max="2305" width="4.50390625" style="434" customWidth="1"/>
    <col min="2306" max="2306" width="11.50390625" style="434" customWidth="1"/>
    <col min="2307" max="2307" width="40.50390625" style="434" customWidth="1"/>
    <col min="2308" max="2308" width="5.50390625" style="434" customWidth="1"/>
    <col min="2309" max="2309" width="8.50390625" style="434" customWidth="1"/>
    <col min="2310" max="2310" width="9.875" style="434" customWidth="1"/>
    <col min="2311" max="2311" width="13.875" style="434" customWidth="1"/>
    <col min="2312" max="2313" width="9.125" style="434" hidden="1" customWidth="1"/>
    <col min="2314" max="2314" width="11.00390625" style="434" customWidth="1"/>
    <col min="2315" max="2315" width="10.50390625" style="434" customWidth="1"/>
    <col min="2316" max="2316" width="75.50390625" style="434" customWidth="1"/>
    <col min="2317" max="2317" width="45.375" style="434" customWidth="1"/>
    <col min="2318" max="2560" width="9.125" style="434" customWidth="1"/>
    <col min="2561" max="2561" width="4.50390625" style="434" customWidth="1"/>
    <col min="2562" max="2562" width="11.50390625" style="434" customWidth="1"/>
    <col min="2563" max="2563" width="40.50390625" style="434" customWidth="1"/>
    <col min="2564" max="2564" width="5.50390625" style="434" customWidth="1"/>
    <col min="2565" max="2565" width="8.50390625" style="434" customWidth="1"/>
    <col min="2566" max="2566" width="9.875" style="434" customWidth="1"/>
    <col min="2567" max="2567" width="13.875" style="434" customWidth="1"/>
    <col min="2568" max="2569" width="9.125" style="434" hidden="1" customWidth="1"/>
    <col min="2570" max="2570" width="11.00390625" style="434" customWidth="1"/>
    <col min="2571" max="2571" width="10.50390625" style="434" customWidth="1"/>
    <col min="2572" max="2572" width="75.50390625" style="434" customWidth="1"/>
    <col min="2573" max="2573" width="45.375" style="434" customWidth="1"/>
    <col min="2574" max="2816" width="9.125" style="434" customWidth="1"/>
    <col min="2817" max="2817" width="4.50390625" style="434" customWidth="1"/>
    <col min="2818" max="2818" width="11.50390625" style="434" customWidth="1"/>
    <col min="2819" max="2819" width="40.50390625" style="434" customWidth="1"/>
    <col min="2820" max="2820" width="5.50390625" style="434" customWidth="1"/>
    <col min="2821" max="2821" width="8.50390625" style="434" customWidth="1"/>
    <col min="2822" max="2822" width="9.875" style="434" customWidth="1"/>
    <col min="2823" max="2823" width="13.875" style="434" customWidth="1"/>
    <col min="2824" max="2825" width="9.125" style="434" hidden="1" customWidth="1"/>
    <col min="2826" max="2826" width="11.00390625" style="434" customWidth="1"/>
    <col min="2827" max="2827" width="10.50390625" style="434" customWidth="1"/>
    <col min="2828" max="2828" width="75.50390625" style="434" customWidth="1"/>
    <col min="2829" max="2829" width="45.375" style="434" customWidth="1"/>
    <col min="2830" max="3072" width="9.125" style="434" customWidth="1"/>
    <col min="3073" max="3073" width="4.50390625" style="434" customWidth="1"/>
    <col min="3074" max="3074" width="11.50390625" style="434" customWidth="1"/>
    <col min="3075" max="3075" width="40.50390625" style="434" customWidth="1"/>
    <col min="3076" max="3076" width="5.50390625" style="434" customWidth="1"/>
    <col min="3077" max="3077" width="8.50390625" style="434" customWidth="1"/>
    <col min="3078" max="3078" width="9.875" style="434" customWidth="1"/>
    <col min="3079" max="3079" width="13.875" style="434" customWidth="1"/>
    <col min="3080" max="3081" width="9.125" style="434" hidden="1" customWidth="1"/>
    <col min="3082" max="3082" width="11.00390625" style="434" customWidth="1"/>
    <col min="3083" max="3083" width="10.50390625" style="434" customWidth="1"/>
    <col min="3084" max="3084" width="75.50390625" style="434" customWidth="1"/>
    <col min="3085" max="3085" width="45.375" style="434" customWidth="1"/>
    <col min="3086" max="3328" width="9.125" style="434" customWidth="1"/>
    <col min="3329" max="3329" width="4.50390625" style="434" customWidth="1"/>
    <col min="3330" max="3330" width="11.50390625" style="434" customWidth="1"/>
    <col min="3331" max="3331" width="40.50390625" style="434" customWidth="1"/>
    <col min="3332" max="3332" width="5.50390625" style="434" customWidth="1"/>
    <col min="3333" max="3333" width="8.50390625" style="434" customWidth="1"/>
    <col min="3334" max="3334" width="9.875" style="434" customWidth="1"/>
    <col min="3335" max="3335" width="13.875" style="434" customWidth="1"/>
    <col min="3336" max="3337" width="9.125" style="434" hidden="1" customWidth="1"/>
    <col min="3338" max="3338" width="11.00390625" style="434" customWidth="1"/>
    <col min="3339" max="3339" width="10.50390625" style="434" customWidth="1"/>
    <col min="3340" max="3340" width="75.50390625" style="434" customWidth="1"/>
    <col min="3341" max="3341" width="45.375" style="434" customWidth="1"/>
    <col min="3342" max="3584" width="9.125" style="434" customWidth="1"/>
    <col min="3585" max="3585" width="4.50390625" style="434" customWidth="1"/>
    <col min="3586" max="3586" width="11.50390625" style="434" customWidth="1"/>
    <col min="3587" max="3587" width="40.50390625" style="434" customWidth="1"/>
    <col min="3588" max="3588" width="5.50390625" style="434" customWidth="1"/>
    <col min="3589" max="3589" width="8.50390625" style="434" customWidth="1"/>
    <col min="3590" max="3590" width="9.875" style="434" customWidth="1"/>
    <col min="3591" max="3591" width="13.875" style="434" customWidth="1"/>
    <col min="3592" max="3593" width="9.125" style="434" hidden="1" customWidth="1"/>
    <col min="3594" max="3594" width="11.00390625" style="434" customWidth="1"/>
    <col min="3595" max="3595" width="10.50390625" style="434" customWidth="1"/>
    <col min="3596" max="3596" width="75.50390625" style="434" customWidth="1"/>
    <col min="3597" max="3597" width="45.375" style="434" customWidth="1"/>
    <col min="3598" max="3840" width="9.125" style="434" customWidth="1"/>
    <col min="3841" max="3841" width="4.50390625" style="434" customWidth="1"/>
    <col min="3842" max="3842" width="11.50390625" style="434" customWidth="1"/>
    <col min="3843" max="3843" width="40.50390625" style="434" customWidth="1"/>
    <col min="3844" max="3844" width="5.50390625" style="434" customWidth="1"/>
    <col min="3845" max="3845" width="8.50390625" style="434" customWidth="1"/>
    <col min="3846" max="3846" width="9.875" style="434" customWidth="1"/>
    <col min="3847" max="3847" width="13.875" style="434" customWidth="1"/>
    <col min="3848" max="3849" width="9.125" style="434" hidden="1" customWidth="1"/>
    <col min="3850" max="3850" width="11.00390625" style="434" customWidth="1"/>
    <col min="3851" max="3851" width="10.50390625" style="434" customWidth="1"/>
    <col min="3852" max="3852" width="75.50390625" style="434" customWidth="1"/>
    <col min="3853" max="3853" width="45.375" style="434" customWidth="1"/>
    <col min="3854" max="4096" width="9.125" style="434" customWidth="1"/>
    <col min="4097" max="4097" width="4.50390625" style="434" customWidth="1"/>
    <col min="4098" max="4098" width="11.50390625" style="434" customWidth="1"/>
    <col min="4099" max="4099" width="40.50390625" style="434" customWidth="1"/>
    <col min="4100" max="4100" width="5.50390625" style="434" customWidth="1"/>
    <col min="4101" max="4101" width="8.50390625" style="434" customWidth="1"/>
    <col min="4102" max="4102" width="9.875" style="434" customWidth="1"/>
    <col min="4103" max="4103" width="13.875" style="434" customWidth="1"/>
    <col min="4104" max="4105" width="9.125" style="434" hidden="1" customWidth="1"/>
    <col min="4106" max="4106" width="11.00390625" style="434" customWidth="1"/>
    <col min="4107" max="4107" width="10.50390625" style="434" customWidth="1"/>
    <col min="4108" max="4108" width="75.50390625" style="434" customWidth="1"/>
    <col min="4109" max="4109" width="45.375" style="434" customWidth="1"/>
    <col min="4110" max="4352" width="9.125" style="434" customWidth="1"/>
    <col min="4353" max="4353" width="4.50390625" style="434" customWidth="1"/>
    <col min="4354" max="4354" width="11.50390625" style="434" customWidth="1"/>
    <col min="4355" max="4355" width="40.50390625" style="434" customWidth="1"/>
    <col min="4356" max="4356" width="5.50390625" style="434" customWidth="1"/>
    <col min="4357" max="4357" width="8.50390625" style="434" customWidth="1"/>
    <col min="4358" max="4358" width="9.875" style="434" customWidth="1"/>
    <col min="4359" max="4359" width="13.875" style="434" customWidth="1"/>
    <col min="4360" max="4361" width="9.125" style="434" hidden="1" customWidth="1"/>
    <col min="4362" max="4362" width="11.00390625" style="434" customWidth="1"/>
    <col min="4363" max="4363" width="10.50390625" style="434" customWidth="1"/>
    <col min="4364" max="4364" width="75.50390625" style="434" customWidth="1"/>
    <col min="4365" max="4365" width="45.375" style="434" customWidth="1"/>
    <col min="4366" max="4608" width="9.125" style="434" customWidth="1"/>
    <col min="4609" max="4609" width="4.50390625" style="434" customWidth="1"/>
    <col min="4610" max="4610" width="11.50390625" style="434" customWidth="1"/>
    <col min="4611" max="4611" width="40.50390625" style="434" customWidth="1"/>
    <col min="4612" max="4612" width="5.50390625" style="434" customWidth="1"/>
    <col min="4613" max="4613" width="8.50390625" style="434" customWidth="1"/>
    <col min="4614" max="4614" width="9.875" style="434" customWidth="1"/>
    <col min="4615" max="4615" width="13.875" style="434" customWidth="1"/>
    <col min="4616" max="4617" width="9.125" style="434" hidden="1" customWidth="1"/>
    <col min="4618" max="4618" width="11.00390625" style="434" customWidth="1"/>
    <col min="4619" max="4619" width="10.50390625" style="434" customWidth="1"/>
    <col min="4620" max="4620" width="75.50390625" style="434" customWidth="1"/>
    <col min="4621" max="4621" width="45.375" style="434" customWidth="1"/>
    <col min="4622" max="4864" width="9.125" style="434" customWidth="1"/>
    <col min="4865" max="4865" width="4.50390625" style="434" customWidth="1"/>
    <col min="4866" max="4866" width="11.50390625" style="434" customWidth="1"/>
    <col min="4867" max="4867" width="40.50390625" style="434" customWidth="1"/>
    <col min="4868" max="4868" width="5.50390625" style="434" customWidth="1"/>
    <col min="4869" max="4869" width="8.50390625" style="434" customWidth="1"/>
    <col min="4870" max="4870" width="9.875" style="434" customWidth="1"/>
    <col min="4871" max="4871" width="13.875" style="434" customWidth="1"/>
    <col min="4872" max="4873" width="9.125" style="434" hidden="1" customWidth="1"/>
    <col min="4874" max="4874" width="11.00390625" style="434" customWidth="1"/>
    <col min="4875" max="4875" width="10.50390625" style="434" customWidth="1"/>
    <col min="4876" max="4876" width="75.50390625" style="434" customWidth="1"/>
    <col min="4877" max="4877" width="45.375" style="434" customWidth="1"/>
    <col min="4878" max="5120" width="9.125" style="434" customWidth="1"/>
    <col min="5121" max="5121" width="4.50390625" style="434" customWidth="1"/>
    <col min="5122" max="5122" width="11.50390625" style="434" customWidth="1"/>
    <col min="5123" max="5123" width="40.50390625" style="434" customWidth="1"/>
    <col min="5124" max="5124" width="5.50390625" style="434" customWidth="1"/>
    <col min="5125" max="5125" width="8.50390625" style="434" customWidth="1"/>
    <col min="5126" max="5126" width="9.875" style="434" customWidth="1"/>
    <col min="5127" max="5127" width="13.875" style="434" customWidth="1"/>
    <col min="5128" max="5129" width="9.125" style="434" hidden="1" customWidth="1"/>
    <col min="5130" max="5130" width="11.00390625" style="434" customWidth="1"/>
    <col min="5131" max="5131" width="10.50390625" style="434" customWidth="1"/>
    <col min="5132" max="5132" width="75.50390625" style="434" customWidth="1"/>
    <col min="5133" max="5133" width="45.375" style="434" customWidth="1"/>
    <col min="5134" max="5376" width="9.125" style="434" customWidth="1"/>
    <col min="5377" max="5377" width="4.50390625" style="434" customWidth="1"/>
    <col min="5378" max="5378" width="11.50390625" style="434" customWidth="1"/>
    <col min="5379" max="5379" width="40.50390625" style="434" customWidth="1"/>
    <col min="5380" max="5380" width="5.50390625" style="434" customWidth="1"/>
    <col min="5381" max="5381" width="8.50390625" style="434" customWidth="1"/>
    <col min="5382" max="5382" width="9.875" style="434" customWidth="1"/>
    <col min="5383" max="5383" width="13.875" style="434" customWidth="1"/>
    <col min="5384" max="5385" width="9.125" style="434" hidden="1" customWidth="1"/>
    <col min="5386" max="5386" width="11.00390625" style="434" customWidth="1"/>
    <col min="5387" max="5387" width="10.50390625" style="434" customWidth="1"/>
    <col min="5388" max="5388" width="75.50390625" style="434" customWidth="1"/>
    <col min="5389" max="5389" width="45.375" style="434" customWidth="1"/>
    <col min="5390" max="5632" width="9.125" style="434" customWidth="1"/>
    <col min="5633" max="5633" width="4.50390625" style="434" customWidth="1"/>
    <col min="5634" max="5634" width="11.50390625" style="434" customWidth="1"/>
    <col min="5635" max="5635" width="40.50390625" style="434" customWidth="1"/>
    <col min="5636" max="5636" width="5.50390625" style="434" customWidth="1"/>
    <col min="5637" max="5637" width="8.50390625" style="434" customWidth="1"/>
    <col min="5638" max="5638" width="9.875" style="434" customWidth="1"/>
    <col min="5639" max="5639" width="13.875" style="434" customWidth="1"/>
    <col min="5640" max="5641" width="9.125" style="434" hidden="1" customWidth="1"/>
    <col min="5642" max="5642" width="11.00390625" style="434" customWidth="1"/>
    <col min="5643" max="5643" width="10.50390625" style="434" customWidth="1"/>
    <col min="5644" max="5644" width="75.50390625" style="434" customWidth="1"/>
    <col min="5645" max="5645" width="45.375" style="434" customWidth="1"/>
    <col min="5646" max="5888" width="9.125" style="434" customWidth="1"/>
    <col min="5889" max="5889" width="4.50390625" style="434" customWidth="1"/>
    <col min="5890" max="5890" width="11.50390625" style="434" customWidth="1"/>
    <col min="5891" max="5891" width="40.50390625" style="434" customWidth="1"/>
    <col min="5892" max="5892" width="5.50390625" style="434" customWidth="1"/>
    <col min="5893" max="5893" width="8.50390625" style="434" customWidth="1"/>
    <col min="5894" max="5894" width="9.875" style="434" customWidth="1"/>
    <col min="5895" max="5895" width="13.875" style="434" customWidth="1"/>
    <col min="5896" max="5897" width="9.125" style="434" hidden="1" customWidth="1"/>
    <col min="5898" max="5898" width="11.00390625" style="434" customWidth="1"/>
    <col min="5899" max="5899" width="10.50390625" style="434" customWidth="1"/>
    <col min="5900" max="5900" width="75.50390625" style="434" customWidth="1"/>
    <col min="5901" max="5901" width="45.375" style="434" customWidth="1"/>
    <col min="5902" max="6144" width="9.125" style="434" customWidth="1"/>
    <col min="6145" max="6145" width="4.50390625" style="434" customWidth="1"/>
    <col min="6146" max="6146" width="11.50390625" style="434" customWidth="1"/>
    <col min="6147" max="6147" width="40.50390625" style="434" customWidth="1"/>
    <col min="6148" max="6148" width="5.50390625" style="434" customWidth="1"/>
    <col min="6149" max="6149" width="8.50390625" style="434" customWidth="1"/>
    <col min="6150" max="6150" width="9.875" style="434" customWidth="1"/>
    <col min="6151" max="6151" width="13.875" style="434" customWidth="1"/>
    <col min="6152" max="6153" width="9.125" style="434" hidden="1" customWidth="1"/>
    <col min="6154" max="6154" width="11.00390625" style="434" customWidth="1"/>
    <col min="6155" max="6155" width="10.50390625" style="434" customWidth="1"/>
    <col min="6156" max="6156" width="75.50390625" style="434" customWidth="1"/>
    <col min="6157" max="6157" width="45.375" style="434" customWidth="1"/>
    <col min="6158" max="6400" width="9.125" style="434" customWidth="1"/>
    <col min="6401" max="6401" width="4.50390625" style="434" customWidth="1"/>
    <col min="6402" max="6402" width="11.50390625" style="434" customWidth="1"/>
    <col min="6403" max="6403" width="40.50390625" style="434" customWidth="1"/>
    <col min="6404" max="6404" width="5.50390625" style="434" customWidth="1"/>
    <col min="6405" max="6405" width="8.50390625" style="434" customWidth="1"/>
    <col min="6406" max="6406" width="9.875" style="434" customWidth="1"/>
    <col min="6407" max="6407" width="13.875" style="434" customWidth="1"/>
    <col min="6408" max="6409" width="9.125" style="434" hidden="1" customWidth="1"/>
    <col min="6410" max="6410" width="11.00390625" style="434" customWidth="1"/>
    <col min="6411" max="6411" width="10.50390625" style="434" customWidth="1"/>
    <col min="6412" max="6412" width="75.50390625" style="434" customWidth="1"/>
    <col min="6413" max="6413" width="45.375" style="434" customWidth="1"/>
    <col min="6414" max="6656" width="9.125" style="434" customWidth="1"/>
    <col min="6657" max="6657" width="4.50390625" style="434" customWidth="1"/>
    <col min="6658" max="6658" width="11.50390625" style="434" customWidth="1"/>
    <col min="6659" max="6659" width="40.50390625" style="434" customWidth="1"/>
    <col min="6660" max="6660" width="5.50390625" style="434" customWidth="1"/>
    <col min="6661" max="6661" width="8.50390625" style="434" customWidth="1"/>
    <col min="6662" max="6662" width="9.875" style="434" customWidth="1"/>
    <col min="6663" max="6663" width="13.875" style="434" customWidth="1"/>
    <col min="6664" max="6665" width="9.125" style="434" hidden="1" customWidth="1"/>
    <col min="6666" max="6666" width="11.00390625" style="434" customWidth="1"/>
    <col min="6667" max="6667" width="10.50390625" style="434" customWidth="1"/>
    <col min="6668" max="6668" width="75.50390625" style="434" customWidth="1"/>
    <col min="6669" max="6669" width="45.375" style="434" customWidth="1"/>
    <col min="6670" max="6912" width="9.125" style="434" customWidth="1"/>
    <col min="6913" max="6913" width="4.50390625" style="434" customWidth="1"/>
    <col min="6914" max="6914" width="11.50390625" style="434" customWidth="1"/>
    <col min="6915" max="6915" width="40.50390625" style="434" customWidth="1"/>
    <col min="6916" max="6916" width="5.50390625" style="434" customWidth="1"/>
    <col min="6917" max="6917" width="8.50390625" style="434" customWidth="1"/>
    <col min="6918" max="6918" width="9.875" style="434" customWidth="1"/>
    <col min="6919" max="6919" width="13.875" style="434" customWidth="1"/>
    <col min="6920" max="6921" width="9.125" style="434" hidden="1" customWidth="1"/>
    <col min="6922" max="6922" width="11.00390625" style="434" customWidth="1"/>
    <col min="6923" max="6923" width="10.50390625" style="434" customWidth="1"/>
    <col min="6924" max="6924" width="75.50390625" style="434" customWidth="1"/>
    <col min="6925" max="6925" width="45.375" style="434" customWidth="1"/>
    <col min="6926" max="7168" width="9.125" style="434" customWidth="1"/>
    <col min="7169" max="7169" width="4.50390625" style="434" customWidth="1"/>
    <col min="7170" max="7170" width="11.50390625" style="434" customWidth="1"/>
    <col min="7171" max="7171" width="40.50390625" style="434" customWidth="1"/>
    <col min="7172" max="7172" width="5.50390625" style="434" customWidth="1"/>
    <col min="7173" max="7173" width="8.50390625" style="434" customWidth="1"/>
    <col min="7174" max="7174" width="9.875" style="434" customWidth="1"/>
    <col min="7175" max="7175" width="13.875" style="434" customWidth="1"/>
    <col min="7176" max="7177" width="9.125" style="434" hidden="1" customWidth="1"/>
    <col min="7178" max="7178" width="11.00390625" style="434" customWidth="1"/>
    <col min="7179" max="7179" width="10.50390625" style="434" customWidth="1"/>
    <col min="7180" max="7180" width="75.50390625" style="434" customWidth="1"/>
    <col min="7181" max="7181" width="45.375" style="434" customWidth="1"/>
    <col min="7182" max="7424" width="9.125" style="434" customWidth="1"/>
    <col min="7425" max="7425" width="4.50390625" style="434" customWidth="1"/>
    <col min="7426" max="7426" width="11.50390625" style="434" customWidth="1"/>
    <col min="7427" max="7427" width="40.50390625" style="434" customWidth="1"/>
    <col min="7428" max="7428" width="5.50390625" style="434" customWidth="1"/>
    <col min="7429" max="7429" width="8.50390625" style="434" customWidth="1"/>
    <col min="7430" max="7430" width="9.875" style="434" customWidth="1"/>
    <col min="7431" max="7431" width="13.875" style="434" customWidth="1"/>
    <col min="7432" max="7433" width="9.125" style="434" hidden="1" customWidth="1"/>
    <col min="7434" max="7434" width="11.00390625" style="434" customWidth="1"/>
    <col min="7435" max="7435" width="10.50390625" style="434" customWidth="1"/>
    <col min="7436" max="7436" width="75.50390625" style="434" customWidth="1"/>
    <col min="7437" max="7437" width="45.375" style="434" customWidth="1"/>
    <col min="7438" max="7680" width="9.125" style="434" customWidth="1"/>
    <col min="7681" max="7681" width="4.50390625" style="434" customWidth="1"/>
    <col min="7682" max="7682" width="11.50390625" style="434" customWidth="1"/>
    <col min="7683" max="7683" width="40.50390625" style="434" customWidth="1"/>
    <col min="7684" max="7684" width="5.50390625" style="434" customWidth="1"/>
    <col min="7685" max="7685" width="8.50390625" style="434" customWidth="1"/>
    <col min="7686" max="7686" width="9.875" style="434" customWidth="1"/>
    <col min="7687" max="7687" width="13.875" style="434" customWidth="1"/>
    <col min="7688" max="7689" width="9.125" style="434" hidden="1" customWidth="1"/>
    <col min="7690" max="7690" width="11.00390625" style="434" customWidth="1"/>
    <col min="7691" max="7691" width="10.50390625" style="434" customWidth="1"/>
    <col min="7692" max="7692" width="75.50390625" style="434" customWidth="1"/>
    <col min="7693" max="7693" width="45.375" style="434" customWidth="1"/>
    <col min="7694" max="7936" width="9.125" style="434" customWidth="1"/>
    <col min="7937" max="7937" width="4.50390625" style="434" customWidth="1"/>
    <col min="7938" max="7938" width="11.50390625" style="434" customWidth="1"/>
    <col min="7939" max="7939" width="40.50390625" style="434" customWidth="1"/>
    <col min="7940" max="7940" width="5.50390625" style="434" customWidth="1"/>
    <col min="7941" max="7941" width="8.50390625" style="434" customWidth="1"/>
    <col min="7942" max="7942" width="9.875" style="434" customWidth="1"/>
    <col min="7943" max="7943" width="13.875" style="434" customWidth="1"/>
    <col min="7944" max="7945" width="9.125" style="434" hidden="1" customWidth="1"/>
    <col min="7946" max="7946" width="11.00390625" style="434" customWidth="1"/>
    <col min="7947" max="7947" width="10.50390625" style="434" customWidth="1"/>
    <col min="7948" max="7948" width="75.50390625" style="434" customWidth="1"/>
    <col min="7949" max="7949" width="45.375" style="434" customWidth="1"/>
    <col min="7950" max="8192" width="9.125" style="434" customWidth="1"/>
    <col min="8193" max="8193" width="4.50390625" style="434" customWidth="1"/>
    <col min="8194" max="8194" width="11.50390625" style="434" customWidth="1"/>
    <col min="8195" max="8195" width="40.50390625" style="434" customWidth="1"/>
    <col min="8196" max="8196" width="5.50390625" style="434" customWidth="1"/>
    <col min="8197" max="8197" width="8.50390625" style="434" customWidth="1"/>
    <col min="8198" max="8198" width="9.875" style="434" customWidth="1"/>
    <col min="8199" max="8199" width="13.875" style="434" customWidth="1"/>
    <col min="8200" max="8201" width="9.125" style="434" hidden="1" customWidth="1"/>
    <col min="8202" max="8202" width="11.00390625" style="434" customWidth="1"/>
    <col min="8203" max="8203" width="10.50390625" style="434" customWidth="1"/>
    <col min="8204" max="8204" width="75.50390625" style="434" customWidth="1"/>
    <col min="8205" max="8205" width="45.375" style="434" customWidth="1"/>
    <col min="8206" max="8448" width="9.125" style="434" customWidth="1"/>
    <col min="8449" max="8449" width="4.50390625" style="434" customWidth="1"/>
    <col min="8450" max="8450" width="11.50390625" style="434" customWidth="1"/>
    <col min="8451" max="8451" width="40.50390625" style="434" customWidth="1"/>
    <col min="8452" max="8452" width="5.50390625" style="434" customWidth="1"/>
    <col min="8453" max="8453" width="8.50390625" style="434" customWidth="1"/>
    <col min="8454" max="8454" width="9.875" style="434" customWidth="1"/>
    <col min="8455" max="8455" width="13.875" style="434" customWidth="1"/>
    <col min="8456" max="8457" width="9.125" style="434" hidden="1" customWidth="1"/>
    <col min="8458" max="8458" width="11.00390625" style="434" customWidth="1"/>
    <col min="8459" max="8459" width="10.50390625" style="434" customWidth="1"/>
    <col min="8460" max="8460" width="75.50390625" style="434" customWidth="1"/>
    <col min="8461" max="8461" width="45.375" style="434" customWidth="1"/>
    <col min="8462" max="8704" width="9.125" style="434" customWidth="1"/>
    <col min="8705" max="8705" width="4.50390625" style="434" customWidth="1"/>
    <col min="8706" max="8706" width="11.50390625" style="434" customWidth="1"/>
    <col min="8707" max="8707" width="40.50390625" style="434" customWidth="1"/>
    <col min="8708" max="8708" width="5.50390625" style="434" customWidth="1"/>
    <col min="8709" max="8709" width="8.50390625" style="434" customWidth="1"/>
    <col min="8710" max="8710" width="9.875" style="434" customWidth="1"/>
    <col min="8711" max="8711" width="13.875" style="434" customWidth="1"/>
    <col min="8712" max="8713" width="9.125" style="434" hidden="1" customWidth="1"/>
    <col min="8714" max="8714" width="11.00390625" style="434" customWidth="1"/>
    <col min="8715" max="8715" width="10.50390625" style="434" customWidth="1"/>
    <col min="8716" max="8716" width="75.50390625" style="434" customWidth="1"/>
    <col min="8717" max="8717" width="45.375" style="434" customWidth="1"/>
    <col min="8718" max="8960" width="9.125" style="434" customWidth="1"/>
    <col min="8961" max="8961" width="4.50390625" style="434" customWidth="1"/>
    <col min="8962" max="8962" width="11.50390625" style="434" customWidth="1"/>
    <col min="8963" max="8963" width="40.50390625" style="434" customWidth="1"/>
    <col min="8964" max="8964" width="5.50390625" style="434" customWidth="1"/>
    <col min="8965" max="8965" width="8.50390625" style="434" customWidth="1"/>
    <col min="8966" max="8966" width="9.875" style="434" customWidth="1"/>
    <col min="8967" max="8967" width="13.875" style="434" customWidth="1"/>
    <col min="8968" max="8969" width="9.125" style="434" hidden="1" customWidth="1"/>
    <col min="8970" max="8970" width="11.00390625" style="434" customWidth="1"/>
    <col min="8971" max="8971" width="10.50390625" style="434" customWidth="1"/>
    <col min="8972" max="8972" width="75.50390625" style="434" customWidth="1"/>
    <col min="8973" max="8973" width="45.375" style="434" customWidth="1"/>
    <col min="8974" max="9216" width="9.125" style="434" customWidth="1"/>
    <col min="9217" max="9217" width="4.50390625" style="434" customWidth="1"/>
    <col min="9218" max="9218" width="11.50390625" style="434" customWidth="1"/>
    <col min="9219" max="9219" width="40.50390625" style="434" customWidth="1"/>
    <col min="9220" max="9220" width="5.50390625" style="434" customWidth="1"/>
    <col min="9221" max="9221" width="8.50390625" style="434" customWidth="1"/>
    <col min="9222" max="9222" width="9.875" style="434" customWidth="1"/>
    <col min="9223" max="9223" width="13.875" style="434" customWidth="1"/>
    <col min="9224" max="9225" width="9.125" style="434" hidden="1" customWidth="1"/>
    <col min="9226" max="9226" width="11.00390625" style="434" customWidth="1"/>
    <col min="9227" max="9227" width="10.50390625" style="434" customWidth="1"/>
    <col min="9228" max="9228" width="75.50390625" style="434" customWidth="1"/>
    <col min="9229" max="9229" width="45.375" style="434" customWidth="1"/>
    <col min="9230" max="9472" width="9.125" style="434" customWidth="1"/>
    <col min="9473" max="9473" width="4.50390625" style="434" customWidth="1"/>
    <col min="9474" max="9474" width="11.50390625" style="434" customWidth="1"/>
    <col min="9475" max="9475" width="40.50390625" style="434" customWidth="1"/>
    <col min="9476" max="9476" width="5.50390625" style="434" customWidth="1"/>
    <col min="9477" max="9477" width="8.50390625" style="434" customWidth="1"/>
    <col min="9478" max="9478" width="9.875" style="434" customWidth="1"/>
    <col min="9479" max="9479" width="13.875" style="434" customWidth="1"/>
    <col min="9480" max="9481" width="9.125" style="434" hidden="1" customWidth="1"/>
    <col min="9482" max="9482" width="11.00390625" style="434" customWidth="1"/>
    <col min="9483" max="9483" width="10.50390625" style="434" customWidth="1"/>
    <col min="9484" max="9484" width="75.50390625" style="434" customWidth="1"/>
    <col min="9485" max="9485" width="45.375" style="434" customWidth="1"/>
    <col min="9486" max="9728" width="9.125" style="434" customWidth="1"/>
    <col min="9729" max="9729" width="4.50390625" style="434" customWidth="1"/>
    <col min="9730" max="9730" width="11.50390625" style="434" customWidth="1"/>
    <col min="9731" max="9731" width="40.50390625" style="434" customWidth="1"/>
    <col min="9732" max="9732" width="5.50390625" style="434" customWidth="1"/>
    <col min="9733" max="9733" width="8.50390625" style="434" customWidth="1"/>
    <col min="9734" max="9734" width="9.875" style="434" customWidth="1"/>
    <col min="9735" max="9735" width="13.875" style="434" customWidth="1"/>
    <col min="9736" max="9737" width="9.125" style="434" hidden="1" customWidth="1"/>
    <col min="9738" max="9738" width="11.00390625" style="434" customWidth="1"/>
    <col min="9739" max="9739" width="10.50390625" style="434" customWidth="1"/>
    <col min="9740" max="9740" width="75.50390625" style="434" customWidth="1"/>
    <col min="9741" max="9741" width="45.375" style="434" customWidth="1"/>
    <col min="9742" max="9984" width="9.125" style="434" customWidth="1"/>
    <col min="9985" max="9985" width="4.50390625" style="434" customWidth="1"/>
    <col min="9986" max="9986" width="11.50390625" style="434" customWidth="1"/>
    <col min="9987" max="9987" width="40.50390625" style="434" customWidth="1"/>
    <col min="9988" max="9988" width="5.50390625" style="434" customWidth="1"/>
    <col min="9989" max="9989" width="8.50390625" style="434" customWidth="1"/>
    <col min="9990" max="9990" width="9.875" style="434" customWidth="1"/>
    <col min="9991" max="9991" width="13.875" style="434" customWidth="1"/>
    <col min="9992" max="9993" width="9.125" style="434" hidden="1" customWidth="1"/>
    <col min="9994" max="9994" width="11.00390625" style="434" customWidth="1"/>
    <col min="9995" max="9995" width="10.50390625" style="434" customWidth="1"/>
    <col min="9996" max="9996" width="75.50390625" style="434" customWidth="1"/>
    <col min="9997" max="9997" width="45.375" style="434" customWidth="1"/>
    <col min="9998" max="10240" width="9.125" style="434" customWidth="1"/>
    <col min="10241" max="10241" width="4.50390625" style="434" customWidth="1"/>
    <col min="10242" max="10242" width="11.50390625" style="434" customWidth="1"/>
    <col min="10243" max="10243" width="40.50390625" style="434" customWidth="1"/>
    <col min="10244" max="10244" width="5.50390625" style="434" customWidth="1"/>
    <col min="10245" max="10245" width="8.50390625" style="434" customWidth="1"/>
    <col min="10246" max="10246" width="9.875" style="434" customWidth="1"/>
    <col min="10247" max="10247" width="13.875" style="434" customWidth="1"/>
    <col min="10248" max="10249" width="9.125" style="434" hidden="1" customWidth="1"/>
    <col min="10250" max="10250" width="11.00390625" style="434" customWidth="1"/>
    <col min="10251" max="10251" width="10.50390625" style="434" customWidth="1"/>
    <col min="10252" max="10252" width="75.50390625" style="434" customWidth="1"/>
    <col min="10253" max="10253" width="45.375" style="434" customWidth="1"/>
    <col min="10254" max="10496" width="9.125" style="434" customWidth="1"/>
    <col min="10497" max="10497" width="4.50390625" style="434" customWidth="1"/>
    <col min="10498" max="10498" width="11.50390625" style="434" customWidth="1"/>
    <col min="10499" max="10499" width="40.50390625" style="434" customWidth="1"/>
    <col min="10500" max="10500" width="5.50390625" style="434" customWidth="1"/>
    <col min="10501" max="10501" width="8.50390625" style="434" customWidth="1"/>
    <col min="10502" max="10502" width="9.875" style="434" customWidth="1"/>
    <col min="10503" max="10503" width="13.875" style="434" customWidth="1"/>
    <col min="10504" max="10505" width="9.125" style="434" hidden="1" customWidth="1"/>
    <col min="10506" max="10506" width="11.00390625" style="434" customWidth="1"/>
    <col min="10507" max="10507" width="10.50390625" style="434" customWidth="1"/>
    <col min="10508" max="10508" width="75.50390625" style="434" customWidth="1"/>
    <col min="10509" max="10509" width="45.375" style="434" customWidth="1"/>
    <col min="10510" max="10752" width="9.125" style="434" customWidth="1"/>
    <col min="10753" max="10753" width="4.50390625" style="434" customWidth="1"/>
    <col min="10754" max="10754" width="11.50390625" style="434" customWidth="1"/>
    <col min="10755" max="10755" width="40.50390625" style="434" customWidth="1"/>
    <col min="10756" max="10756" width="5.50390625" style="434" customWidth="1"/>
    <col min="10757" max="10757" width="8.50390625" style="434" customWidth="1"/>
    <col min="10758" max="10758" width="9.875" style="434" customWidth="1"/>
    <col min="10759" max="10759" width="13.875" style="434" customWidth="1"/>
    <col min="10760" max="10761" width="9.125" style="434" hidden="1" customWidth="1"/>
    <col min="10762" max="10762" width="11.00390625" style="434" customWidth="1"/>
    <col min="10763" max="10763" width="10.50390625" style="434" customWidth="1"/>
    <col min="10764" max="10764" width="75.50390625" style="434" customWidth="1"/>
    <col min="10765" max="10765" width="45.375" style="434" customWidth="1"/>
    <col min="10766" max="11008" width="9.125" style="434" customWidth="1"/>
    <col min="11009" max="11009" width="4.50390625" style="434" customWidth="1"/>
    <col min="11010" max="11010" width="11.50390625" style="434" customWidth="1"/>
    <col min="11011" max="11011" width="40.50390625" style="434" customWidth="1"/>
    <col min="11012" max="11012" width="5.50390625" style="434" customWidth="1"/>
    <col min="11013" max="11013" width="8.50390625" style="434" customWidth="1"/>
    <col min="11014" max="11014" width="9.875" style="434" customWidth="1"/>
    <col min="11015" max="11015" width="13.875" style="434" customWidth="1"/>
    <col min="11016" max="11017" width="9.125" style="434" hidden="1" customWidth="1"/>
    <col min="11018" max="11018" width="11.00390625" style="434" customWidth="1"/>
    <col min="11019" max="11019" width="10.50390625" style="434" customWidth="1"/>
    <col min="11020" max="11020" width="75.50390625" style="434" customWidth="1"/>
    <col min="11021" max="11021" width="45.375" style="434" customWidth="1"/>
    <col min="11022" max="11264" width="9.125" style="434" customWidth="1"/>
    <col min="11265" max="11265" width="4.50390625" style="434" customWidth="1"/>
    <col min="11266" max="11266" width="11.50390625" style="434" customWidth="1"/>
    <col min="11267" max="11267" width="40.50390625" style="434" customWidth="1"/>
    <col min="11268" max="11268" width="5.50390625" style="434" customWidth="1"/>
    <col min="11269" max="11269" width="8.50390625" style="434" customWidth="1"/>
    <col min="11270" max="11270" width="9.875" style="434" customWidth="1"/>
    <col min="11271" max="11271" width="13.875" style="434" customWidth="1"/>
    <col min="11272" max="11273" width="9.125" style="434" hidden="1" customWidth="1"/>
    <col min="11274" max="11274" width="11.00390625" style="434" customWidth="1"/>
    <col min="11275" max="11275" width="10.50390625" style="434" customWidth="1"/>
    <col min="11276" max="11276" width="75.50390625" style="434" customWidth="1"/>
    <col min="11277" max="11277" width="45.375" style="434" customWidth="1"/>
    <col min="11278" max="11520" width="9.125" style="434" customWidth="1"/>
    <col min="11521" max="11521" width="4.50390625" style="434" customWidth="1"/>
    <col min="11522" max="11522" width="11.50390625" style="434" customWidth="1"/>
    <col min="11523" max="11523" width="40.50390625" style="434" customWidth="1"/>
    <col min="11524" max="11524" width="5.50390625" style="434" customWidth="1"/>
    <col min="11525" max="11525" width="8.50390625" style="434" customWidth="1"/>
    <col min="11526" max="11526" width="9.875" style="434" customWidth="1"/>
    <col min="11527" max="11527" width="13.875" style="434" customWidth="1"/>
    <col min="11528" max="11529" width="9.125" style="434" hidden="1" customWidth="1"/>
    <col min="11530" max="11530" width="11.00390625" style="434" customWidth="1"/>
    <col min="11531" max="11531" width="10.50390625" style="434" customWidth="1"/>
    <col min="11532" max="11532" width="75.50390625" style="434" customWidth="1"/>
    <col min="11533" max="11533" width="45.375" style="434" customWidth="1"/>
    <col min="11534" max="11776" width="9.125" style="434" customWidth="1"/>
    <col min="11777" max="11777" width="4.50390625" style="434" customWidth="1"/>
    <col min="11778" max="11778" width="11.50390625" style="434" customWidth="1"/>
    <col min="11779" max="11779" width="40.50390625" style="434" customWidth="1"/>
    <col min="11780" max="11780" width="5.50390625" style="434" customWidth="1"/>
    <col min="11781" max="11781" width="8.50390625" style="434" customWidth="1"/>
    <col min="11782" max="11782" width="9.875" style="434" customWidth="1"/>
    <col min="11783" max="11783" width="13.875" style="434" customWidth="1"/>
    <col min="11784" max="11785" width="9.125" style="434" hidden="1" customWidth="1"/>
    <col min="11786" max="11786" width="11.00390625" style="434" customWidth="1"/>
    <col min="11787" max="11787" width="10.50390625" style="434" customWidth="1"/>
    <col min="11788" max="11788" width="75.50390625" style="434" customWidth="1"/>
    <col min="11789" max="11789" width="45.375" style="434" customWidth="1"/>
    <col min="11790" max="12032" width="9.125" style="434" customWidth="1"/>
    <col min="12033" max="12033" width="4.50390625" style="434" customWidth="1"/>
    <col min="12034" max="12034" width="11.50390625" style="434" customWidth="1"/>
    <col min="12035" max="12035" width="40.50390625" style="434" customWidth="1"/>
    <col min="12036" max="12036" width="5.50390625" style="434" customWidth="1"/>
    <col min="12037" max="12037" width="8.50390625" style="434" customWidth="1"/>
    <col min="12038" max="12038" width="9.875" style="434" customWidth="1"/>
    <col min="12039" max="12039" width="13.875" style="434" customWidth="1"/>
    <col min="12040" max="12041" width="9.125" style="434" hidden="1" customWidth="1"/>
    <col min="12042" max="12042" width="11.00390625" style="434" customWidth="1"/>
    <col min="12043" max="12043" width="10.50390625" style="434" customWidth="1"/>
    <col min="12044" max="12044" width="75.50390625" style="434" customWidth="1"/>
    <col min="12045" max="12045" width="45.375" style="434" customWidth="1"/>
    <col min="12046" max="12288" width="9.125" style="434" customWidth="1"/>
    <col min="12289" max="12289" width="4.50390625" style="434" customWidth="1"/>
    <col min="12290" max="12290" width="11.50390625" style="434" customWidth="1"/>
    <col min="12291" max="12291" width="40.50390625" style="434" customWidth="1"/>
    <col min="12292" max="12292" width="5.50390625" style="434" customWidth="1"/>
    <col min="12293" max="12293" width="8.50390625" style="434" customWidth="1"/>
    <col min="12294" max="12294" width="9.875" style="434" customWidth="1"/>
    <col min="12295" max="12295" width="13.875" style="434" customWidth="1"/>
    <col min="12296" max="12297" width="9.125" style="434" hidden="1" customWidth="1"/>
    <col min="12298" max="12298" width="11.00390625" style="434" customWidth="1"/>
    <col min="12299" max="12299" width="10.50390625" style="434" customWidth="1"/>
    <col min="12300" max="12300" width="75.50390625" style="434" customWidth="1"/>
    <col min="12301" max="12301" width="45.375" style="434" customWidth="1"/>
    <col min="12302" max="12544" width="9.125" style="434" customWidth="1"/>
    <col min="12545" max="12545" width="4.50390625" style="434" customWidth="1"/>
    <col min="12546" max="12546" width="11.50390625" style="434" customWidth="1"/>
    <col min="12547" max="12547" width="40.50390625" style="434" customWidth="1"/>
    <col min="12548" max="12548" width="5.50390625" style="434" customWidth="1"/>
    <col min="12549" max="12549" width="8.50390625" style="434" customWidth="1"/>
    <col min="12550" max="12550" width="9.875" style="434" customWidth="1"/>
    <col min="12551" max="12551" width="13.875" style="434" customWidth="1"/>
    <col min="12552" max="12553" width="9.125" style="434" hidden="1" customWidth="1"/>
    <col min="12554" max="12554" width="11.00390625" style="434" customWidth="1"/>
    <col min="12555" max="12555" width="10.50390625" style="434" customWidth="1"/>
    <col min="12556" max="12556" width="75.50390625" style="434" customWidth="1"/>
    <col min="12557" max="12557" width="45.375" style="434" customWidth="1"/>
    <col min="12558" max="12800" width="9.125" style="434" customWidth="1"/>
    <col min="12801" max="12801" width="4.50390625" style="434" customWidth="1"/>
    <col min="12802" max="12802" width="11.50390625" style="434" customWidth="1"/>
    <col min="12803" max="12803" width="40.50390625" style="434" customWidth="1"/>
    <col min="12804" max="12804" width="5.50390625" style="434" customWidth="1"/>
    <col min="12805" max="12805" width="8.50390625" style="434" customWidth="1"/>
    <col min="12806" max="12806" width="9.875" style="434" customWidth="1"/>
    <col min="12807" max="12807" width="13.875" style="434" customWidth="1"/>
    <col min="12808" max="12809" width="9.125" style="434" hidden="1" customWidth="1"/>
    <col min="12810" max="12810" width="11.00390625" style="434" customWidth="1"/>
    <col min="12811" max="12811" width="10.50390625" style="434" customWidth="1"/>
    <col min="12812" max="12812" width="75.50390625" style="434" customWidth="1"/>
    <col min="12813" max="12813" width="45.375" style="434" customWidth="1"/>
    <col min="12814" max="13056" width="9.125" style="434" customWidth="1"/>
    <col min="13057" max="13057" width="4.50390625" style="434" customWidth="1"/>
    <col min="13058" max="13058" width="11.50390625" style="434" customWidth="1"/>
    <col min="13059" max="13059" width="40.50390625" style="434" customWidth="1"/>
    <col min="13060" max="13060" width="5.50390625" style="434" customWidth="1"/>
    <col min="13061" max="13061" width="8.50390625" style="434" customWidth="1"/>
    <col min="13062" max="13062" width="9.875" style="434" customWidth="1"/>
    <col min="13063" max="13063" width="13.875" style="434" customWidth="1"/>
    <col min="13064" max="13065" width="9.125" style="434" hidden="1" customWidth="1"/>
    <col min="13066" max="13066" width="11.00390625" style="434" customWidth="1"/>
    <col min="13067" max="13067" width="10.50390625" style="434" customWidth="1"/>
    <col min="13068" max="13068" width="75.50390625" style="434" customWidth="1"/>
    <col min="13069" max="13069" width="45.375" style="434" customWidth="1"/>
    <col min="13070" max="13312" width="9.125" style="434" customWidth="1"/>
    <col min="13313" max="13313" width="4.50390625" style="434" customWidth="1"/>
    <col min="13314" max="13314" width="11.50390625" style="434" customWidth="1"/>
    <col min="13315" max="13315" width="40.50390625" style="434" customWidth="1"/>
    <col min="13316" max="13316" width="5.50390625" style="434" customWidth="1"/>
    <col min="13317" max="13317" width="8.50390625" style="434" customWidth="1"/>
    <col min="13318" max="13318" width="9.875" style="434" customWidth="1"/>
    <col min="13319" max="13319" width="13.875" style="434" customWidth="1"/>
    <col min="13320" max="13321" width="9.125" style="434" hidden="1" customWidth="1"/>
    <col min="13322" max="13322" width="11.00390625" style="434" customWidth="1"/>
    <col min="13323" max="13323" width="10.50390625" style="434" customWidth="1"/>
    <col min="13324" max="13324" width="75.50390625" style="434" customWidth="1"/>
    <col min="13325" max="13325" width="45.375" style="434" customWidth="1"/>
    <col min="13326" max="13568" width="9.125" style="434" customWidth="1"/>
    <col min="13569" max="13569" width="4.50390625" style="434" customWidth="1"/>
    <col min="13570" max="13570" width="11.50390625" style="434" customWidth="1"/>
    <col min="13571" max="13571" width="40.50390625" style="434" customWidth="1"/>
    <col min="13572" max="13572" width="5.50390625" style="434" customWidth="1"/>
    <col min="13573" max="13573" width="8.50390625" style="434" customWidth="1"/>
    <col min="13574" max="13574" width="9.875" style="434" customWidth="1"/>
    <col min="13575" max="13575" width="13.875" style="434" customWidth="1"/>
    <col min="13576" max="13577" width="9.125" style="434" hidden="1" customWidth="1"/>
    <col min="13578" max="13578" width="11.00390625" style="434" customWidth="1"/>
    <col min="13579" max="13579" width="10.50390625" style="434" customWidth="1"/>
    <col min="13580" max="13580" width="75.50390625" style="434" customWidth="1"/>
    <col min="13581" max="13581" width="45.375" style="434" customWidth="1"/>
    <col min="13582" max="13824" width="9.125" style="434" customWidth="1"/>
    <col min="13825" max="13825" width="4.50390625" style="434" customWidth="1"/>
    <col min="13826" max="13826" width="11.50390625" style="434" customWidth="1"/>
    <col min="13827" max="13827" width="40.50390625" style="434" customWidth="1"/>
    <col min="13828" max="13828" width="5.50390625" style="434" customWidth="1"/>
    <col min="13829" max="13829" width="8.50390625" style="434" customWidth="1"/>
    <col min="13830" max="13830" width="9.875" style="434" customWidth="1"/>
    <col min="13831" max="13831" width="13.875" style="434" customWidth="1"/>
    <col min="13832" max="13833" width="9.125" style="434" hidden="1" customWidth="1"/>
    <col min="13834" max="13834" width="11.00390625" style="434" customWidth="1"/>
    <col min="13835" max="13835" width="10.50390625" style="434" customWidth="1"/>
    <col min="13836" max="13836" width="75.50390625" style="434" customWidth="1"/>
    <col min="13837" max="13837" width="45.375" style="434" customWidth="1"/>
    <col min="13838" max="14080" width="9.125" style="434" customWidth="1"/>
    <col min="14081" max="14081" width="4.50390625" style="434" customWidth="1"/>
    <col min="14082" max="14082" width="11.50390625" style="434" customWidth="1"/>
    <col min="14083" max="14083" width="40.50390625" style="434" customWidth="1"/>
    <col min="14084" max="14084" width="5.50390625" style="434" customWidth="1"/>
    <col min="14085" max="14085" width="8.50390625" style="434" customWidth="1"/>
    <col min="14086" max="14086" width="9.875" style="434" customWidth="1"/>
    <col min="14087" max="14087" width="13.875" style="434" customWidth="1"/>
    <col min="14088" max="14089" width="9.125" style="434" hidden="1" customWidth="1"/>
    <col min="14090" max="14090" width="11.00390625" style="434" customWidth="1"/>
    <col min="14091" max="14091" width="10.50390625" style="434" customWidth="1"/>
    <col min="14092" max="14092" width="75.50390625" style="434" customWidth="1"/>
    <col min="14093" max="14093" width="45.375" style="434" customWidth="1"/>
    <col min="14094" max="14336" width="9.125" style="434" customWidth="1"/>
    <col min="14337" max="14337" width="4.50390625" style="434" customWidth="1"/>
    <col min="14338" max="14338" width="11.50390625" style="434" customWidth="1"/>
    <col min="14339" max="14339" width="40.50390625" style="434" customWidth="1"/>
    <col min="14340" max="14340" width="5.50390625" style="434" customWidth="1"/>
    <col min="14341" max="14341" width="8.50390625" style="434" customWidth="1"/>
    <col min="14342" max="14342" width="9.875" style="434" customWidth="1"/>
    <col min="14343" max="14343" width="13.875" style="434" customWidth="1"/>
    <col min="14344" max="14345" width="9.125" style="434" hidden="1" customWidth="1"/>
    <col min="14346" max="14346" width="11.00390625" style="434" customWidth="1"/>
    <col min="14347" max="14347" width="10.50390625" style="434" customWidth="1"/>
    <col min="14348" max="14348" width="75.50390625" style="434" customWidth="1"/>
    <col min="14349" max="14349" width="45.375" style="434" customWidth="1"/>
    <col min="14350" max="14592" width="9.125" style="434" customWidth="1"/>
    <col min="14593" max="14593" width="4.50390625" style="434" customWidth="1"/>
    <col min="14594" max="14594" width="11.50390625" style="434" customWidth="1"/>
    <col min="14595" max="14595" width="40.50390625" style="434" customWidth="1"/>
    <col min="14596" max="14596" width="5.50390625" style="434" customWidth="1"/>
    <col min="14597" max="14597" width="8.50390625" style="434" customWidth="1"/>
    <col min="14598" max="14598" width="9.875" style="434" customWidth="1"/>
    <col min="14599" max="14599" width="13.875" style="434" customWidth="1"/>
    <col min="14600" max="14601" width="9.125" style="434" hidden="1" customWidth="1"/>
    <col min="14602" max="14602" width="11.00390625" style="434" customWidth="1"/>
    <col min="14603" max="14603" width="10.50390625" style="434" customWidth="1"/>
    <col min="14604" max="14604" width="75.50390625" style="434" customWidth="1"/>
    <col min="14605" max="14605" width="45.375" style="434" customWidth="1"/>
    <col min="14606" max="14848" width="9.125" style="434" customWidth="1"/>
    <col min="14849" max="14849" width="4.50390625" style="434" customWidth="1"/>
    <col min="14850" max="14850" width="11.50390625" style="434" customWidth="1"/>
    <col min="14851" max="14851" width="40.50390625" style="434" customWidth="1"/>
    <col min="14852" max="14852" width="5.50390625" style="434" customWidth="1"/>
    <col min="14853" max="14853" width="8.50390625" style="434" customWidth="1"/>
    <col min="14854" max="14854" width="9.875" style="434" customWidth="1"/>
    <col min="14855" max="14855" width="13.875" style="434" customWidth="1"/>
    <col min="14856" max="14857" width="9.125" style="434" hidden="1" customWidth="1"/>
    <col min="14858" max="14858" width="11.00390625" style="434" customWidth="1"/>
    <col min="14859" max="14859" width="10.50390625" style="434" customWidth="1"/>
    <col min="14860" max="14860" width="75.50390625" style="434" customWidth="1"/>
    <col min="14861" max="14861" width="45.375" style="434" customWidth="1"/>
    <col min="14862" max="15104" width="9.125" style="434" customWidth="1"/>
    <col min="15105" max="15105" width="4.50390625" style="434" customWidth="1"/>
    <col min="15106" max="15106" width="11.50390625" style="434" customWidth="1"/>
    <col min="15107" max="15107" width="40.50390625" style="434" customWidth="1"/>
    <col min="15108" max="15108" width="5.50390625" style="434" customWidth="1"/>
    <col min="15109" max="15109" width="8.50390625" style="434" customWidth="1"/>
    <col min="15110" max="15110" width="9.875" style="434" customWidth="1"/>
    <col min="15111" max="15111" width="13.875" style="434" customWidth="1"/>
    <col min="15112" max="15113" width="9.125" style="434" hidden="1" customWidth="1"/>
    <col min="15114" max="15114" width="11.00390625" style="434" customWidth="1"/>
    <col min="15115" max="15115" width="10.50390625" style="434" customWidth="1"/>
    <col min="15116" max="15116" width="75.50390625" style="434" customWidth="1"/>
    <col min="15117" max="15117" width="45.375" style="434" customWidth="1"/>
    <col min="15118" max="15360" width="9.125" style="434" customWidth="1"/>
    <col min="15361" max="15361" width="4.50390625" style="434" customWidth="1"/>
    <col min="15362" max="15362" width="11.50390625" style="434" customWidth="1"/>
    <col min="15363" max="15363" width="40.50390625" style="434" customWidth="1"/>
    <col min="15364" max="15364" width="5.50390625" style="434" customWidth="1"/>
    <col min="15365" max="15365" width="8.50390625" style="434" customWidth="1"/>
    <col min="15366" max="15366" width="9.875" style="434" customWidth="1"/>
    <col min="15367" max="15367" width="13.875" style="434" customWidth="1"/>
    <col min="15368" max="15369" width="9.125" style="434" hidden="1" customWidth="1"/>
    <col min="15370" max="15370" width="11.00390625" style="434" customWidth="1"/>
    <col min="15371" max="15371" width="10.50390625" style="434" customWidth="1"/>
    <col min="15372" max="15372" width="75.50390625" style="434" customWidth="1"/>
    <col min="15373" max="15373" width="45.375" style="434" customWidth="1"/>
    <col min="15374" max="15616" width="9.125" style="434" customWidth="1"/>
    <col min="15617" max="15617" width="4.50390625" style="434" customWidth="1"/>
    <col min="15618" max="15618" width="11.50390625" style="434" customWidth="1"/>
    <col min="15619" max="15619" width="40.50390625" style="434" customWidth="1"/>
    <col min="15620" max="15620" width="5.50390625" style="434" customWidth="1"/>
    <col min="15621" max="15621" width="8.50390625" style="434" customWidth="1"/>
    <col min="15622" max="15622" width="9.875" style="434" customWidth="1"/>
    <col min="15623" max="15623" width="13.875" style="434" customWidth="1"/>
    <col min="15624" max="15625" width="9.125" style="434" hidden="1" customWidth="1"/>
    <col min="15626" max="15626" width="11.00390625" style="434" customWidth="1"/>
    <col min="15627" max="15627" width="10.50390625" style="434" customWidth="1"/>
    <col min="15628" max="15628" width="75.50390625" style="434" customWidth="1"/>
    <col min="15629" max="15629" width="45.375" style="434" customWidth="1"/>
    <col min="15630" max="15872" width="9.125" style="434" customWidth="1"/>
    <col min="15873" max="15873" width="4.50390625" style="434" customWidth="1"/>
    <col min="15874" max="15874" width="11.50390625" style="434" customWidth="1"/>
    <col min="15875" max="15875" width="40.50390625" style="434" customWidth="1"/>
    <col min="15876" max="15876" width="5.50390625" style="434" customWidth="1"/>
    <col min="15877" max="15877" width="8.50390625" style="434" customWidth="1"/>
    <col min="15878" max="15878" width="9.875" style="434" customWidth="1"/>
    <col min="15879" max="15879" width="13.875" style="434" customWidth="1"/>
    <col min="15880" max="15881" width="9.125" style="434" hidden="1" customWidth="1"/>
    <col min="15882" max="15882" width="11.00390625" style="434" customWidth="1"/>
    <col min="15883" max="15883" width="10.50390625" style="434" customWidth="1"/>
    <col min="15884" max="15884" width="75.50390625" style="434" customWidth="1"/>
    <col min="15885" max="15885" width="45.375" style="434" customWidth="1"/>
    <col min="15886" max="16128" width="9.125" style="434" customWidth="1"/>
    <col min="16129" max="16129" width="4.50390625" style="434" customWidth="1"/>
    <col min="16130" max="16130" width="11.50390625" style="434" customWidth="1"/>
    <col min="16131" max="16131" width="40.50390625" style="434" customWidth="1"/>
    <col min="16132" max="16132" width="5.50390625" style="434" customWidth="1"/>
    <col min="16133" max="16133" width="8.50390625" style="434" customWidth="1"/>
    <col min="16134" max="16134" width="9.875" style="434" customWidth="1"/>
    <col min="16135" max="16135" width="13.875" style="434" customWidth="1"/>
    <col min="16136" max="16137" width="9.125" style="434" hidden="1" customWidth="1"/>
    <col min="16138" max="16138" width="11.00390625" style="434" customWidth="1"/>
    <col min="16139" max="16139" width="10.50390625" style="434" customWidth="1"/>
    <col min="16140" max="16140" width="75.50390625" style="434" customWidth="1"/>
    <col min="16141" max="16141" width="45.375" style="434" customWidth="1"/>
    <col min="16142" max="16384" width="9.125" style="434" customWidth="1"/>
  </cols>
  <sheetData>
    <row r="1" spans="1:7" ht="15.6">
      <c r="A1" s="1622" t="s">
        <v>127</v>
      </c>
      <c r="B1" s="1622"/>
      <c r="C1" s="1622"/>
      <c r="D1" s="1622"/>
      <c r="E1" s="1622"/>
      <c r="F1" s="1622"/>
      <c r="G1" s="1622"/>
    </row>
    <row r="2" spans="2:7" ht="14.25" customHeight="1" thickBot="1">
      <c r="B2" s="493"/>
      <c r="C2" s="491"/>
      <c r="D2" s="491"/>
      <c r="E2" s="492"/>
      <c r="F2" s="491"/>
      <c r="G2" s="491"/>
    </row>
    <row r="3" spans="1:7" ht="13.8" thickTop="1">
      <c r="A3" s="1612" t="s">
        <v>2</v>
      </c>
      <c r="B3" s="1613"/>
      <c r="C3" s="433" t="s">
        <v>82</v>
      </c>
      <c r="D3" s="490"/>
      <c r="E3" s="489" t="s">
        <v>128</v>
      </c>
      <c r="F3" s="488" t="str">
        <f>'r11bR'!H1</f>
        <v/>
      </c>
      <c r="G3" s="487"/>
    </row>
    <row r="4" spans="1:7" ht="13.8" thickBot="1">
      <c r="A4" s="1623" t="s">
        <v>79</v>
      </c>
      <c r="B4" s="1615"/>
      <c r="C4" s="427" t="s">
        <v>2241</v>
      </c>
      <c r="D4" s="486"/>
      <c r="E4" s="1624" t="str">
        <f>'r11bR'!G2</f>
        <v>aktualizovaný</v>
      </c>
      <c r="F4" s="1625"/>
      <c r="G4" s="1626"/>
    </row>
    <row r="5" spans="1:7" ht="13.8" thickTop="1">
      <c r="A5" s="485"/>
      <c r="G5" s="484"/>
    </row>
    <row r="6" spans="1:11" ht="27" customHeight="1">
      <c r="A6" s="483" t="s">
        <v>129</v>
      </c>
      <c r="B6" s="481" t="s">
        <v>130</v>
      </c>
      <c r="C6" s="481" t="s">
        <v>131</v>
      </c>
      <c r="D6" s="481" t="s">
        <v>132</v>
      </c>
      <c r="E6" s="482" t="s">
        <v>133</v>
      </c>
      <c r="F6" s="481" t="s">
        <v>134</v>
      </c>
      <c r="G6" s="480" t="s">
        <v>135</v>
      </c>
      <c r="H6" s="479" t="s">
        <v>136</v>
      </c>
      <c r="I6" s="479" t="s">
        <v>137</v>
      </c>
      <c r="J6" s="479" t="s">
        <v>138</v>
      </c>
      <c r="K6" s="479" t="s">
        <v>139</v>
      </c>
    </row>
    <row r="7" spans="1:15" ht="12.75">
      <c r="A7" s="471" t="s">
        <v>140</v>
      </c>
      <c r="B7" s="470" t="s">
        <v>141</v>
      </c>
      <c r="C7" s="469" t="s">
        <v>142</v>
      </c>
      <c r="D7" s="468"/>
      <c r="E7" s="467"/>
      <c r="F7" s="467"/>
      <c r="G7" s="466"/>
      <c r="H7" s="465"/>
      <c r="I7" s="464"/>
      <c r="J7" s="463"/>
      <c r="K7" s="462"/>
      <c r="O7" s="444">
        <v>1</v>
      </c>
    </row>
    <row r="8" spans="1:80" ht="12.75">
      <c r="A8" s="461">
        <v>1</v>
      </c>
      <c r="B8" s="460" t="s">
        <v>2242</v>
      </c>
      <c r="C8" s="459" t="s">
        <v>2243</v>
      </c>
      <c r="D8" s="458" t="s">
        <v>154</v>
      </c>
      <c r="E8" s="457">
        <v>8</v>
      </c>
      <c r="F8" s="457">
        <v>0</v>
      </c>
      <c r="G8" s="456">
        <f>E8*F8</f>
        <v>0</v>
      </c>
      <c r="H8" s="455">
        <v>0</v>
      </c>
      <c r="I8" s="454">
        <f>E8*H8</f>
        <v>0</v>
      </c>
      <c r="J8" s="455">
        <v>0</v>
      </c>
      <c r="K8" s="454">
        <f>E8*J8</f>
        <v>0</v>
      </c>
      <c r="O8" s="444">
        <v>2</v>
      </c>
      <c r="AA8" s="434">
        <v>1</v>
      </c>
      <c r="AB8" s="434">
        <v>1</v>
      </c>
      <c r="AC8" s="434">
        <v>1</v>
      </c>
      <c r="AZ8" s="434">
        <v>1</v>
      </c>
      <c r="BA8" s="434">
        <f>IF(AZ8=1,G8,0)</f>
        <v>0</v>
      </c>
      <c r="BB8" s="434">
        <f>IF(AZ8=2,G8,0)</f>
        <v>0</v>
      </c>
      <c r="BC8" s="434">
        <f>IF(AZ8=3,G8,0)</f>
        <v>0</v>
      </c>
      <c r="BD8" s="434">
        <f>IF(AZ8=4,G8,0)</f>
        <v>0</v>
      </c>
      <c r="BE8" s="434">
        <f>IF(AZ8=5,G8,0)</f>
        <v>0</v>
      </c>
      <c r="CA8" s="444">
        <v>1</v>
      </c>
      <c r="CB8" s="444">
        <v>1</v>
      </c>
    </row>
    <row r="9" spans="1:15" ht="12.75">
      <c r="A9" s="478"/>
      <c r="B9" s="573"/>
      <c r="C9" s="1627"/>
      <c r="D9" s="1596"/>
      <c r="E9" s="1596"/>
      <c r="F9" s="1596"/>
      <c r="G9" s="1597"/>
      <c r="I9" s="473"/>
      <c r="K9" s="473"/>
      <c r="L9" s="472"/>
      <c r="O9" s="444">
        <v>3</v>
      </c>
    </row>
    <row r="10" spans="1:15" ht="12.75">
      <c r="A10" s="478"/>
      <c r="B10" s="477"/>
      <c r="C10" s="1621" t="s">
        <v>2244</v>
      </c>
      <c r="D10" s="1589"/>
      <c r="E10" s="476">
        <v>8</v>
      </c>
      <c r="F10" s="475"/>
      <c r="G10" s="230"/>
      <c r="H10" s="474"/>
      <c r="I10" s="473"/>
      <c r="J10" s="436"/>
      <c r="K10" s="473"/>
      <c r="M10" s="472" t="s">
        <v>2244</v>
      </c>
      <c r="O10" s="444"/>
    </row>
    <row r="11" spans="1:80" ht="12.75">
      <c r="A11" s="461">
        <v>2</v>
      </c>
      <c r="B11" s="460" t="s">
        <v>156</v>
      </c>
      <c r="C11" s="459" t="s">
        <v>2243</v>
      </c>
      <c r="D11" s="458" t="s">
        <v>154</v>
      </c>
      <c r="E11" s="457">
        <v>8</v>
      </c>
      <c r="F11" s="457">
        <v>0</v>
      </c>
      <c r="G11" s="456">
        <f>E11*F11</f>
        <v>0</v>
      </c>
      <c r="H11" s="455">
        <v>0</v>
      </c>
      <c r="I11" s="454">
        <f>E11*H11</f>
        <v>0</v>
      </c>
      <c r="J11" s="455">
        <v>0</v>
      </c>
      <c r="K11" s="454">
        <f>E11*J11</f>
        <v>0</v>
      </c>
      <c r="O11" s="444">
        <v>2</v>
      </c>
      <c r="AA11" s="434">
        <v>1</v>
      </c>
      <c r="AB11" s="434">
        <v>0</v>
      </c>
      <c r="AC11" s="434">
        <v>0</v>
      </c>
      <c r="AZ11" s="434">
        <v>1</v>
      </c>
      <c r="BA11" s="434">
        <f>IF(AZ11=1,G11,0)</f>
        <v>0</v>
      </c>
      <c r="BB11" s="434">
        <f>IF(AZ11=2,G11,0)</f>
        <v>0</v>
      </c>
      <c r="BC11" s="434">
        <f>IF(AZ11=3,G11,0)</f>
        <v>0</v>
      </c>
      <c r="BD11" s="434">
        <f>IF(AZ11=4,G11,0)</f>
        <v>0</v>
      </c>
      <c r="BE11" s="434">
        <f>IF(AZ11=5,G11,0)</f>
        <v>0</v>
      </c>
      <c r="CA11" s="444">
        <v>1</v>
      </c>
      <c r="CB11" s="444">
        <v>0</v>
      </c>
    </row>
    <row r="12" spans="1:15" ht="12.75">
      <c r="A12" s="478"/>
      <c r="B12" s="573"/>
      <c r="C12" s="1627"/>
      <c r="D12" s="1596"/>
      <c r="E12" s="1596"/>
      <c r="F12" s="1596"/>
      <c r="G12" s="1597"/>
      <c r="I12" s="473"/>
      <c r="K12" s="473"/>
      <c r="L12" s="472"/>
      <c r="O12" s="444">
        <v>3</v>
      </c>
    </row>
    <row r="13" spans="1:80" ht="12.75">
      <c r="A13" s="461">
        <v>3</v>
      </c>
      <c r="B13" s="460" t="s">
        <v>2245</v>
      </c>
      <c r="C13" s="459" t="s">
        <v>2246</v>
      </c>
      <c r="D13" s="458" t="s">
        <v>154</v>
      </c>
      <c r="E13" s="457">
        <v>94.2</v>
      </c>
      <c r="F13" s="457">
        <v>0</v>
      </c>
      <c r="G13" s="456">
        <f>E13*F13</f>
        <v>0</v>
      </c>
      <c r="H13" s="455">
        <v>0</v>
      </c>
      <c r="I13" s="454">
        <f>E13*H13</f>
        <v>0</v>
      </c>
      <c r="J13" s="455">
        <v>0</v>
      </c>
      <c r="K13" s="454">
        <f>E13*J13</f>
        <v>0</v>
      </c>
      <c r="O13" s="444">
        <v>2</v>
      </c>
      <c r="AA13" s="434">
        <v>1</v>
      </c>
      <c r="AB13" s="434">
        <v>1</v>
      </c>
      <c r="AC13" s="434">
        <v>1</v>
      </c>
      <c r="AZ13" s="434">
        <v>1</v>
      </c>
      <c r="BA13" s="434">
        <f>IF(AZ13=1,G13,0)</f>
        <v>0</v>
      </c>
      <c r="BB13" s="434">
        <f>IF(AZ13=2,G13,0)</f>
        <v>0</v>
      </c>
      <c r="BC13" s="434">
        <f>IF(AZ13=3,G13,0)</f>
        <v>0</v>
      </c>
      <c r="BD13" s="434">
        <f>IF(AZ13=4,G13,0)</f>
        <v>0</v>
      </c>
      <c r="BE13" s="434">
        <f>IF(AZ13=5,G13,0)</f>
        <v>0</v>
      </c>
      <c r="CA13" s="444">
        <v>1</v>
      </c>
      <c r="CB13" s="444">
        <v>1</v>
      </c>
    </row>
    <row r="14" spans="1:80" ht="12.75">
      <c r="A14" s="461">
        <v>4</v>
      </c>
      <c r="B14" s="460" t="s">
        <v>502</v>
      </c>
      <c r="C14" s="459" t="s">
        <v>2247</v>
      </c>
      <c r="D14" s="458" t="s">
        <v>154</v>
      </c>
      <c r="E14" s="457">
        <v>94.2</v>
      </c>
      <c r="F14" s="457">
        <v>0</v>
      </c>
      <c r="G14" s="456">
        <f>E14*F14</f>
        <v>0</v>
      </c>
      <c r="H14" s="455">
        <v>0</v>
      </c>
      <c r="I14" s="454">
        <f>E14*H14</f>
        <v>0</v>
      </c>
      <c r="J14" s="455">
        <v>0</v>
      </c>
      <c r="K14" s="454">
        <f>E14*J14</f>
        <v>0</v>
      </c>
      <c r="O14" s="444">
        <v>2</v>
      </c>
      <c r="AA14" s="434">
        <v>1</v>
      </c>
      <c r="AB14" s="434">
        <v>1</v>
      </c>
      <c r="AC14" s="434">
        <v>1</v>
      </c>
      <c r="AZ14" s="434">
        <v>1</v>
      </c>
      <c r="BA14" s="434">
        <f>IF(AZ14=1,G14,0)</f>
        <v>0</v>
      </c>
      <c r="BB14" s="434">
        <f>IF(AZ14=2,G14,0)</f>
        <v>0</v>
      </c>
      <c r="BC14" s="434">
        <f>IF(AZ14=3,G14,0)</f>
        <v>0</v>
      </c>
      <c r="BD14" s="434">
        <f>IF(AZ14=4,G14,0)</f>
        <v>0</v>
      </c>
      <c r="BE14" s="434">
        <f>IF(AZ14=5,G14,0)</f>
        <v>0</v>
      </c>
      <c r="CA14" s="444">
        <v>1</v>
      </c>
      <c r="CB14" s="444">
        <v>1</v>
      </c>
    </row>
    <row r="15" spans="1:15" ht="12.75">
      <c r="A15" s="478"/>
      <c r="B15" s="477"/>
      <c r="C15" s="1621" t="s">
        <v>2248</v>
      </c>
      <c r="D15" s="1589"/>
      <c r="E15" s="476">
        <v>84.6</v>
      </c>
      <c r="F15" s="475"/>
      <c r="G15" s="230"/>
      <c r="H15" s="474"/>
      <c r="I15" s="473"/>
      <c r="J15" s="436"/>
      <c r="K15" s="473"/>
      <c r="M15" s="472" t="s">
        <v>2248</v>
      </c>
      <c r="O15" s="444"/>
    </row>
    <row r="16" spans="1:15" ht="12.75">
      <c r="A16" s="478"/>
      <c r="B16" s="477"/>
      <c r="C16" s="1621" t="s">
        <v>2249</v>
      </c>
      <c r="D16" s="1589"/>
      <c r="E16" s="476">
        <v>9.6</v>
      </c>
      <c r="F16" s="475"/>
      <c r="G16" s="230"/>
      <c r="H16" s="474"/>
      <c r="I16" s="473"/>
      <c r="J16" s="436"/>
      <c r="K16" s="473"/>
      <c r="M16" s="472" t="s">
        <v>2249</v>
      </c>
      <c r="O16" s="444"/>
    </row>
    <row r="17" spans="1:80" ht="12.75">
      <c r="A17" s="461">
        <v>5</v>
      </c>
      <c r="B17" s="460" t="s">
        <v>2056</v>
      </c>
      <c r="C17" s="459" t="s">
        <v>2057</v>
      </c>
      <c r="D17" s="458" t="s">
        <v>145</v>
      </c>
      <c r="E17" s="457">
        <v>200</v>
      </c>
      <c r="F17" s="457">
        <v>0</v>
      </c>
      <c r="G17" s="456">
        <f>E17*F17</f>
        <v>0</v>
      </c>
      <c r="H17" s="455">
        <v>0</v>
      </c>
      <c r="I17" s="454">
        <f>E17*H17</f>
        <v>0</v>
      </c>
      <c r="J17" s="455">
        <v>0</v>
      </c>
      <c r="K17" s="454">
        <f>E17*J17</f>
        <v>0</v>
      </c>
      <c r="O17" s="444">
        <v>2</v>
      </c>
      <c r="AA17" s="434">
        <v>1</v>
      </c>
      <c r="AB17" s="434">
        <v>1</v>
      </c>
      <c r="AC17" s="434">
        <v>1</v>
      </c>
      <c r="AZ17" s="434">
        <v>1</v>
      </c>
      <c r="BA17" s="434">
        <f>IF(AZ17=1,G17,0)</f>
        <v>0</v>
      </c>
      <c r="BB17" s="434">
        <f>IF(AZ17=2,G17,0)</f>
        <v>0</v>
      </c>
      <c r="BC17" s="434">
        <f>IF(AZ17=3,G17,0)</f>
        <v>0</v>
      </c>
      <c r="BD17" s="434">
        <f>IF(AZ17=4,G17,0)</f>
        <v>0</v>
      </c>
      <c r="BE17" s="434">
        <f>IF(AZ17=5,G17,0)</f>
        <v>0</v>
      </c>
      <c r="CA17" s="444">
        <v>1</v>
      </c>
      <c r="CB17" s="444">
        <v>1</v>
      </c>
    </row>
    <row r="18" spans="1:80" ht="12.75">
      <c r="A18" s="461">
        <v>6</v>
      </c>
      <c r="B18" s="460" t="s">
        <v>172</v>
      </c>
      <c r="C18" s="459" t="s">
        <v>173</v>
      </c>
      <c r="D18" s="458" t="s">
        <v>145</v>
      </c>
      <c r="E18" s="457">
        <v>21.76</v>
      </c>
      <c r="F18" s="457">
        <v>0</v>
      </c>
      <c r="G18" s="456">
        <f>E18*F18</f>
        <v>0</v>
      </c>
      <c r="H18" s="455">
        <v>0</v>
      </c>
      <c r="I18" s="454">
        <f>E18*H18</f>
        <v>0</v>
      </c>
      <c r="J18" s="455">
        <v>0</v>
      </c>
      <c r="K18" s="454">
        <f>E18*J18</f>
        <v>0</v>
      </c>
      <c r="O18" s="444">
        <v>2</v>
      </c>
      <c r="AA18" s="434">
        <v>1</v>
      </c>
      <c r="AB18" s="434">
        <v>1</v>
      </c>
      <c r="AC18" s="434">
        <v>1</v>
      </c>
      <c r="AZ18" s="434">
        <v>1</v>
      </c>
      <c r="BA18" s="434">
        <f>IF(AZ18=1,G18,0)</f>
        <v>0</v>
      </c>
      <c r="BB18" s="434">
        <f>IF(AZ18=2,G18,0)</f>
        <v>0</v>
      </c>
      <c r="BC18" s="434">
        <f>IF(AZ18=3,G18,0)</f>
        <v>0</v>
      </c>
      <c r="BD18" s="434">
        <f>IF(AZ18=4,G18,0)</f>
        <v>0</v>
      </c>
      <c r="BE18" s="434">
        <f>IF(AZ18=5,G18,0)</f>
        <v>0</v>
      </c>
      <c r="CA18" s="444">
        <v>1</v>
      </c>
      <c r="CB18" s="444">
        <v>1</v>
      </c>
    </row>
    <row r="19" spans="1:15" ht="12.75">
      <c r="A19" s="478"/>
      <c r="B19" s="477"/>
      <c r="C19" s="1621" t="s">
        <v>2250</v>
      </c>
      <c r="D19" s="1589"/>
      <c r="E19" s="476">
        <v>21.76</v>
      </c>
      <c r="F19" s="475"/>
      <c r="G19" s="230"/>
      <c r="H19" s="474"/>
      <c r="I19" s="473"/>
      <c r="J19" s="436"/>
      <c r="K19" s="473"/>
      <c r="M19" s="472" t="s">
        <v>2250</v>
      </c>
      <c r="O19" s="444"/>
    </row>
    <row r="20" spans="1:80" ht="12.75">
      <c r="A20" s="461">
        <v>7</v>
      </c>
      <c r="B20" s="460" t="s">
        <v>2066</v>
      </c>
      <c r="C20" s="459" t="s">
        <v>2067</v>
      </c>
      <c r="D20" s="458" t="s">
        <v>259</v>
      </c>
      <c r="E20" s="457">
        <v>10</v>
      </c>
      <c r="F20" s="457">
        <v>0</v>
      </c>
      <c r="G20" s="456">
        <f>E20*F20</f>
        <v>0</v>
      </c>
      <c r="H20" s="455">
        <v>0.001</v>
      </c>
      <c r="I20" s="454">
        <f>E20*H20</f>
        <v>0.01</v>
      </c>
      <c r="J20" s="455"/>
      <c r="K20" s="454">
        <f>E20*J20</f>
        <v>0</v>
      </c>
      <c r="O20" s="444">
        <v>2</v>
      </c>
      <c r="AA20" s="434">
        <v>3</v>
      </c>
      <c r="AB20" s="434">
        <v>1</v>
      </c>
      <c r="AC20" s="434">
        <v>572404</v>
      </c>
      <c r="AZ20" s="434">
        <v>1</v>
      </c>
      <c r="BA20" s="434">
        <f>IF(AZ20=1,G20,0)</f>
        <v>0</v>
      </c>
      <c r="BB20" s="434">
        <f>IF(AZ20=2,G20,0)</f>
        <v>0</v>
      </c>
      <c r="BC20" s="434">
        <f>IF(AZ20=3,G20,0)</f>
        <v>0</v>
      </c>
      <c r="BD20" s="434">
        <f>IF(AZ20=4,G20,0)</f>
        <v>0</v>
      </c>
      <c r="BE20" s="434">
        <f>IF(AZ20=5,G20,0)</f>
        <v>0</v>
      </c>
      <c r="CA20" s="444">
        <v>3</v>
      </c>
      <c r="CB20" s="444">
        <v>1</v>
      </c>
    </row>
    <row r="21" spans="1:80" ht="12.75">
      <c r="A21" s="461">
        <v>8</v>
      </c>
      <c r="B21" s="460" t="s">
        <v>2073</v>
      </c>
      <c r="C21" s="459" t="s">
        <v>2074</v>
      </c>
      <c r="D21" s="458" t="s">
        <v>259</v>
      </c>
      <c r="E21" s="457">
        <v>20</v>
      </c>
      <c r="F21" s="457">
        <v>0</v>
      </c>
      <c r="G21" s="456">
        <f>E21*F21</f>
        <v>0</v>
      </c>
      <c r="H21" s="455">
        <v>0.001</v>
      </c>
      <c r="I21" s="454">
        <f>E21*H21</f>
        <v>0.02</v>
      </c>
      <c r="J21" s="455"/>
      <c r="K21" s="454">
        <f>E21*J21</f>
        <v>0</v>
      </c>
      <c r="O21" s="444">
        <v>2</v>
      </c>
      <c r="AA21" s="434">
        <v>3</v>
      </c>
      <c r="AB21" s="434">
        <v>1</v>
      </c>
      <c r="AC21" s="434" t="s">
        <v>2073</v>
      </c>
      <c r="AZ21" s="434">
        <v>1</v>
      </c>
      <c r="BA21" s="434">
        <f>IF(AZ21=1,G21,0)</f>
        <v>0</v>
      </c>
      <c r="BB21" s="434">
        <f>IF(AZ21=2,G21,0)</f>
        <v>0</v>
      </c>
      <c r="BC21" s="434">
        <f>IF(AZ21=3,G21,0)</f>
        <v>0</v>
      </c>
      <c r="BD21" s="434">
        <f>IF(AZ21=4,G21,0)</f>
        <v>0</v>
      </c>
      <c r="BE21" s="434">
        <f>IF(AZ21=5,G21,0)</f>
        <v>0</v>
      </c>
      <c r="CA21" s="444">
        <v>3</v>
      </c>
      <c r="CB21" s="444">
        <v>1</v>
      </c>
    </row>
    <row r="22" spans="1:57" ht="12.75">
      <c r="A22" s="453"/>
      <c r="B22" s="452" t="s">
        <v>175</v>
      </c>
      <c r="C22" s="451" t="s">
        <v>176</v>
      </c>
      <c r="D22" s="450"/>
      <c r="E22" s="449"/>
      <c r="F22" s="448"/>
      <c r="G22" s="447">
        <f>SUM(G7:G21)</f>
        <v>0</v>
      </c>
      <c r="H22" s="446"/>
      <c r="I22" s="445">
        <f>SUM(I7:I21)</f>
        <v>0.03</v>
      </c>
      <c r="J22" s="446"/>
      <c r="K22" s="445">
        <f>SUM(K7:K21)</f>
        <v>0</v>
      </c>
      <c r="O22" s="444">
        <v>4</v>
      </c>
      <c r="BA22" s="443">
        <f>SUM(BA7:BA21)</f>
        <v>0</v>
      </c>
      <c r="BB22" s="443">
        <f>SUM(BB7:BB21)</f>
        <v>0</v>
      </c>
      <c r="BC22" s="443">
        <f>SUM(BC7:BC21)</f>
        <v>0</v>
      </c>
      <c r="BD22" s="443">
        <f>SUM(BD7:BD21)</f>
        <v>0</v>
      </c>
      <c r="BE22" s="443">
        <f>SUM(BE7:BE21)</f>
        <v>0</v>
      </c>
    </row>
    <row r="23" spans="1:15" ht="12.75">
      <c r="A23" s="471" t="s">
        <v>140</v>
      </c>
      <c r="B23" s="470" t="s">
        <v>183</v>
      </c>
      <c r="C23" s="469" t="s">
        <v>184</v>
      </c>
      <c r="D23" s="468"/>
      <c r="E23" s="467"/>
      <c r="F23" s="467"/>
      <c r="G23" s="466"/>
      <c r="H23" s="465"/>
      <c r="I23" s="464"/>
      <c r="J23" s="463"/>
      <c r="K23" s="462"/>
      <c r="O23" s="444">
        <v>1</v>
      </c>
    </row>
    <row r="24" spans="1:80" ht="12.75">
      <c r="A24" s="461">
        <v>9</v>
      </c>
      <c r="B24" s="460" t="s">
        <v>2251</v>
      </c>
      <c r="C24" s="459" t="s">
        <v>2252</v>
      </c>
      <c r="D24" s="458" t="s">
        <v>154</v>
      </c>
      <c r="E24" s="457">
        <v>0.25</v>
      </c>
      <c r="F24" s="457">
        <v>0</v>
      </c>
      <c r="G24" s="456">
        <f>E24*F24</f>
        <v>0</v>
      </c>
      <c r="H24" s="455">
        <v>1.665</v>
      </c>
      <c r="I24" s="454">
        <f>E24*H24</f>
        <v>0.41625</v>
      </c>
      <c r="J24" s="455">
        <v>0</v>
      </c>
      <c r="K24" s="454">
        <f>E24*J24</f>
        <v>0</v>
      </c>
      <c r="O24" s="444">
        <v>2</v>
      </c>
      <c r="AA24" s="434">
        <v>1</v>
      </c>
      <c r="AB24" s="434">
        <v>1</v>
      </c>
      <c r="AC24" s="434">
        <v>1</v>
      </c>
      <c r="AZ24" s="434">
        <v>1</v>
      </c>
      <c r="BA24" s="434">
        <f>IF(AZ24=1,G24,0)</f>
        <v>0</v>
      </c>
      <c r="BB24" s="434">
        <f>IF(AZ24=2,G24,0)</f>
        <v>0</v>
      </c>
      <c r="BC24" s="434">
        <f>IF(AZ24=3,G24,0)</f>
        <v>0</v>
      </c>
      <c r="BD24" s="434">
        <f>IF(AZ24=4,G24,0)</f>
        <v>0</v>
      </c>
      <c r="BE24" s="434">
        <f>IF(AZ24=5,G24,0)</f>
        <v>0</v>
      </c>
      <c r="CA24" s="444">
        <v>1</v>
      </c>
      <c r="CB24" s="444">
        <v>1</v>
      </c>
    </row>
    <row r="25" spans="1:15" ht="12.75">
      <c r="A25" s="478"/>
      <c r="B25" s="477"/>
      <c r="C25" s="1621" t="s">
        <v>2253</v>
      </c>
      <c r="D25" s="1589"/>
      <c r="E25" s="476">
        <v>0.25</v>
      </c>
      <c r="F25" s="475"/>
      <c r="G25" s="230"/>
      <c r="H25" s="474"/>
      <c r="I25" s="473"/>
      <c r="J25" s="436"/>
      <c r="K25" s="473"/>
      <c r="M25" s="472" t="s">
        <v>2253</v>
      </c>
      <c r="O25" s="444"/>
    </row>
    <row r="26" spans="1:80" ht="12.75">
      <c r="A26" s="461">
        <v>10</v>
      </c>
      <c r="B26" s="460" t="s">
        <v>2254</v>
      </c>
      <c r="C26" s="459" t="s">
        <v>2255</v>
      </c>
      <c r="D26" s="458" t="s">
        <v>145</v>
      </c>
      <c r="E26" s="457">
        <v>61.625</v>
      </c>
      <c r="F26" s="457">
        <v>0</v>
      </c>
      <c r="G26" s="456">
        <f>E26*F26</f>
        <v>0</v>
      </c>
      <c r="H26" s="455">
        <v>4E-05</v>
      </c>
      <c r="I26" s="454">
        <f>E26*H26</f>
        <v>0.002465</v>
      </c>
      <c r="J26" s="455">
        <v>0</v>
      </c>
      <c r="K26" s="454">
        <f>E26*J26</f>
        <v>0</v>
      </c>
      <c r="O26" s="444">
        <v>2</v>
      </c>
      <c r="AA26" s="434">
        <v>1</v>
      </c>
      <c r="AB26" s="434">
        <v>1</v>
      </c>
      <c r="AC26" s="434">
        <v>1</v>
      </c>
      <c r="AZ26" s="434">
        <v>1</v>
      </c>
      <c r="BA26" s="434">
        <f>IF(AZ26=1,G26,0)</f>
        <v>0</v>
      </c>
      <c r="BB26" s="434">
        <f>IF(AZ26=2,G26,0)</f>
        <v>0</v>
      </c>
      <c r="BC26" s="434">
        <f>IF(AZ26=3,G26,0)</f>
        <v>0</v>
      </c>
      <c r="BD26" s="434">
        <f>IF(AZ26=4,G26,0)</f>
        <v>0</v>
      </c>
      <c r="BE26" s="434">
        <f>IF(AZ26=5,G26,0)</f>
        <v>0</v>
      </c>
      <c r="CA26" s="444">
        <v>1</v>
      </c>
      <c r="CB26" s="444">
        <v>1</v>
      </c>
    </row>
    <row r="27" spans="1:15" ht="12.75">
      <c r="A27" s="478"/>
      <c r="B27" s="477"/>
      <c r="C27" s="1621" t="s">
        <v>2256</v>
      </c>
      <c r="D27" s="1589"/>
      <c r="E27" s="476">
        <v>14.625</v>
      </c>
      <c r="F27" s="475"/>
      <c r="G27" s="230"/>
      <c r="H27" s="474"/>
      <c r="I27" s="473"/>
      <c r="J27" s="436"/>
      <c r="K27" s="473"/>
      <c r="M27" s="472" t="s">
        <v>2256</v>
      </c>
      <c r="O27" s="444"/>
    </row>
    <row r="28" spans="1:15" ht="12.75">
      <c r="A28" s="478"/>
      <c r="B28" s="477"/>
      <c r="C28" s="1621" t="s">
        <v>2257</v>
      </c>
      <c r="D28" s="1589"/>
      <c r="E28" s="476">
        <v>47</v>
      </c>
      <c r="F28" s="475"/>
      <c r="G28" s="230"/>
      <c r="H28" s="474"/>
      <c r="I28" s="473"/>
      <c r="J28" s="436"/>
      <c r="K28" s="473"/>
      <c r="M28" s="472" t="s">
        <v>2257</v>
      </c>
      <c r="O28" s="444"/>
    </row>
    <row r="29" spans="1:80" ht="12.75">
      <c r="A29" s="461">
        <v>11</v>
      </c>
      <c r="B29" s="460" t="s">
        <v>517</v>
      </c>
      <c r="C29" s="459" t="s">
        <v>518</v>
      </c>
      <c r="D29" s="458" t="s">
        <v>154</v>
      </c>
      <c r="E29" s="457">
        <v>2.176</v>
      </c>
      <c r="F29" s="457">
        <v>0</v>
      </c>
      <c r="G29" s="456">
        <f>E29*F29</f>
        <v>0</v>
      </c>
      <c r="H29" s="455">
        <v>2.16</v>
      </c>
      <c r="I29" s="454">
        <f>E29*H29</f>
        <v>4.70016</v>
      </c>
      <c r="J29" s="455">
        <v>0</v>
      </c>
      <c r="K29" s="454">
        <f>E29*J29</f>
        <v>0</v>
      </c>
      <c r="O29" s="444">
        <v>2</v>
      </c>
      <c r="AA29" s="434">
        <v>1</v>
      </c>
      <c r="AB29" s="434">
        <v>1</v>
      </c>
      <c r="AC29" s="434">
        <v>1</v>
      </c>
      <c r="AZ29" s="434">
        <v>1</v>
      </c>
      <c r="BA29" s="434">
        <f>IF(AZ29=1,G29,0)</f>
        <v>0</v>
      </c>
      <c r="BB29" s="434">
        <f>IF(AZ29=2,G29,0)</f>
        <v>0</v>
      </c>
      <c r="BC29" s="434">
        <f>IF(AZ29=3,G29,0)</f>
        <v>0</v>
      </c>
      <c r="BD29" s="434">
        <f>IF(AZ29=4,G29,0)</f>
        <v>0</v>
      </c>
      <c r="BE29" s="434">
        <f>IF(AZ29=5,G29,0)</f>
        <v>0</v>
      </c>
      <c r="CA29" s="444">
        <v>1</v>
      </c>
      <c r="CB29" s="444">
        <v>1</v>
      </c>
    </row>
    <row r="30" spans="1:15" ht="12.75">
      <c r="A30" s="478"/>
      <c r="B30" s="477"/>
      <c r="C30" s="1621" t="s">
        <v>2258</v>
      </c>
      <c r="D30" s="1589"/>
      <c r="E30" s="476">
        <v>2.176</v>
      </c>
      <c r="F30" s="475"/>
      <c r="G30" s="230"/>
      <c r="H30" s="474"/>
      <c r="I30" s="473"/>
      <c r="J30" s="436"/>
      <c r="K30" s="473"/>
      <c r="M30" s="472" t="s">
        <v>2258</v>
      </c>
      <c r="O30" s="444"/>
    </row>
    <row r="31" spans="1:80" ht="12.75">
      <c r="A31" s="461">
        <v>12</v>
      </c>
      <c r="B31" s="460" t="s">
        <v>520</v>
      </c>
      <c r="C31" s="459" t="s">
        <v>521</v>
      </c>
      <c r="D31" s="458" t="s">
        <v>154</v>
      </c>
      <c r="E31" s="457">
        <v>2.176</v>
      </c>
      <c r="F31" s="457">
        <v>0</v>
      </c>
      <c r="G31" s="456">
        <f>E31*F31</f>
        <v>0</v>
      </c>
      <c r="H31" s="455">
        <v>2.525</v>
      </c>
      <c r="I31" s="454">
        <f>E31*H31</f>
        <v>5.494400000000001</v>
      </c>
      <c r="J31" s="455">
        <v>0</v>
      </c>
      <c r="K31" s="454">
        <f>E31*J31</f>
        <v>0</v>
      </c>
      <c r="O31" s="444">
        <v>2</v>
      </c>
      <c r="AA31" s="434">
        <v>1</v>
      </c>
      <c r="AB31" s="434">
        <v>1</v>
      </c>
      <c r="AC31" s="434">
        <v>1</v>
      </c>
      <c r="AZ31" s="434">
        <v>1</v>
      </c>
      <c r="BA31" s="434">
        <f>IF(AZ31=1,G31,0)</f>
        <v>0</v>
      </c>
      <c r="BB31" s="434">
        <f>IF(AZ31=2,G31,0)</f>
        <v>0</v>
      </c>
      <c r="BC31" s="434">
        <f>IF(AZ31=3,G31,0)</f>
        <v>0</v>
      </c>
      <c r="BD31" s="434">
        <f>IF(AZ31=4,G31,0)</f>
        <v>0</v>
      </c>
      <c r="BE31" s="434">
        <f>IF(AZ31=5,G31,0)</f>
        <v>0</v>
      </c>
      <c r="CA31" s="444">
        <v>1</v>
      </c>
      <c r="CB31" s="444">
        <v>1</v>
      </c>
    </row>
    <row r="32" spans="1:15" ht="12.75">
      <c r="A32" s="478"/>
      <c r="B32" s="477"/>
      <c r="C32" s="1621" t="s">
        <v>2259</v>
      </c>
      <c r="D32" s="1589"/>
      <c r="E32" s="476">
        <v>2.176</v>
      </c>
      <c r="F32" s="475"/>
      <c r="G32" s="230"/>
      <c r="H32" s="474"/>
      <c r="I32" s="473"/>
      <c r="J32" s="436"/>
      <c r="K32" s="473"/>
      <c r="M32" s="472" t="s">
        <v>2259</v>
      </c>
      <c r="O32" s="444"/>
    </row>
    <row r="33" spans="1:80" ht="20.4">
      <c r="A33" s="461">
        <v>13</v>
      </c>
      <c r="B33" s="460" t="s">
        <v>522</v>
      </c>
      <c r="C33" s="459" t="s">
        <v>523</v>
      </c>
      <c r="D33" s="458" t="s">
        <v>166</v>
      </c>
      <c r="E33" s="457">
        <v>0.1719</v>
      </c>
      <c r="F33" s="457">
        <v>0</v>
      </c>
      <c r="G33" s="456">
        <f>E33*F33</f>
        <v>0</v>
      </c>
      <c r="H33" s="455">
        <v>0.00374</v>
      </c>
      <c r="I33" s="454">
        <f>E33*H33</f>
        <v>0.000642906</v>
      </c>
      <c r="J33" s="455">
        <v>0</v>
      </c>
      <c r="K33" s="454">
        <f>E33*J33</f>
        <v>0</v>
      </c>
      <c r="O33" s="444">
        <v>2</v>
      </c>
      <c r="AA33" s="434">
        <v>1</v>
      </c>
      <c r="AB33" s="434">
        <v>1</v>
      </c>
      <c r="AC33" s="434">
        <v>1</v>
      </c>
      <c r="AZ33" s="434">
        <v>1</v>
      </c>
      <c r="BA33" s="434">
        <f>IF(AZ33=1,G33,0)</f>
        <v>0</v>
      </c>
      <c r="BB33" s="434">
        <f>IF(AZ33=2,G33,0)</f>
        <v>0</v>
      </c>
      <c r="BC33" s="434">
        <f>IF(AZ33=3,G33,0)</f>
        <v>0</v>
      </c>
      <c r="BD33" s="434">
        <f>IF(AZ33=4,G33,0)</f>
        <v>0</v>
      </c>
      <c r="BE33" s="434">
        <f>IF(AZ33=5,G33,0)</f>
        <v>0</v>
      </c>
      <c r="CA33" s="444">
        <v>1</v>
      </c>
      <c r="CB33" s="444">
        <v>1</v>
      </c>
    </row>
    <row r="34" spans="1:15" ht="12.75">
      <c r="A34" s="478"/>
      <c r="B34" s="477"/>
      <c r="C34" s="1621" t="s">
        <v>2260</v>
      </c>
      <c r="D34" s="1589"/>
      <c r="E34" s="476">
        <v>0.1719</v>
      </c>
      <c r="F34" s="475"/>
      <c r="G34" s="230"/>
      <c r="H34" s="474"/>
      <c r="I34" s="473"/>
      <c r="J34" s="436"/>
      <c r="K34" s="473"/>
      <c r="M34" s="472" t="s">
        <v>2260</v>
      </c>
      <c r="O34" s="444"/>
    </row>
    <row r="35" spans="1:80" ht="12.75">
      <c r="A35" s="461">
        <v>14</v>
      </c>
      <c r="B35" s="460" t="s">
        <v>185</v>
      </c>
      <c r="C35" s="459" t="s">
        <v>186</v>
      </c>
      <c r="D35" s="458" t="s">
        <v>154</v>
      </c>
      <c r="E35" s="457">
        <v>8</v>
      </c>
      <c r="F35" s="457">
        <v>0</v>
      </c>
      <c r="G35" s="456">
        <f>E35*F35</f>
        <v>0</v>
      </c>
      <c r="H35" s="455">
        <v>2.525</v>
      </c>
      <c r="I35" s="454">
        <f>E35*H35</f>
        <v>20.2</v>
      </c>
      <c r="J35" s="455">
        <v>0</v>
      </c>
      <c r="K35" s="454">
        <f>E35*J35</f>
        <v>0</v>
      </c>
      <c r="O35" s="444">
        <v>2</v>
      </c>
      <c r="AA35" s="434">
        <v>1</v>
      </c>
      <c r="AB35" s="434">
        <v>0</v>
      </c>
      <c r="AC35" s="434">
        <v>0</v>
      </c>
      <c r="AZ35" s="434">
        <v>1</v>
      </c>
      <c r="BA35" s="434">
        <f>IF(AZ35=1,G35,0)</f>
        <v>0</v>
      </c>
      <c r="BB35" s="434">
        <f>IF(AZ35=2,G35,0)</f>
        <v>0</v>
      </c>
      <c r="BC35" s="434">
        <f>IF(AZ35=3,G35,0)</f>
        <v>0</v>
      </c>
      <c r="BD35" s="434">
        <f>IF(AZ35=4,G35,0)</f>
        <v>0</v>
      </c>
      <c r="BE35" s="434">
        <f>IF(AZ35=5,G35,0)</f>
        <v>0</v>
      </c>
      <c r="CA35" s="444">
        <v>1</v>
      </c>
      <c r="CB35" s="444">
        <v>0</v>
      </c>
    </row>
    <row r="36" spans="1:15" ht="12.75">
      <c r="A36" s="478"/>
      <c r="B36" s="477"/>
      <c r="C36" s="1621" t="s">
        <v>2261</v>
      </c>
      <c r="D36" s="1589"/>
      <c r="E36" s="476">
        <v>8</v>
      </c>
      <c r="F36" s="475"/>
      <c r="G36" s="230"/>
      <c r="H36" s="474"/>
      <c r="I36" s="473"/>
      <c r="J36" s="436"/>
      <c r="K36" s="473"/>
      <c r="M36" s="472" t="s">
        <v>2261</v>
      </c>
      <c r="O36" s="444"/>
    </row>
    <row r="37" spans="1:80" ht="12.75">
      <c r="A37" s="461">
        <v>15</v>
      </c>
      <c r="B37" s="460" t="s">
        <v>2262</v>
      </c>
      <c r="C37" s="459" t="s">
        <v>2263</v>
      </c>
      <c r="D37" s="458" t="s">
        <v>145</v>
      </c>
      <c r="E37" s="457">
        <v>41.36</v>
      </c>
      <c r="F37" s="457">
        <v>0</v>
      </c>
      <c r="G37" s="456">
        <f>E37*F37</f>
        <v>0</v>
      </c>
      <c r="H37" s="455">
        <v>0.01289</v>
      </c>
      <c r="I37" s="454">
        <f>E37*H37</f>
        <v>0.5331304</v>
      </c>
      <c r="J37" s="455">
        <v>0</v>
      </c>
      <c r="K37" s="454">
        <f>E37*J37</f>
        <v>0</v>
      </c>
      <c r="O37" s="444">
        <v>2</v>
      </c>
      <c r="AA37" s="434">
        <v>1</v>
      </c>
      <c r="AB37" s="434">
        <v>1</v>
      </c>
      <c r="AC37" s="434">
        <v>1</v>
      </c>
      <c r="AZ37" s="434">
        <v>1</v>
      </c>
      <c r="BA37" s="434">
        <f>IF(AZ37=1,G37,0)</f>
        <v>0</v>
      </c>
      <c r="BB37" s="434">
        <f>IF(AZ37=2,G37,0)</f>
        <v>0</v>
      </c>
      <c r="BC37" s="434">
        <f>IF(AZ37=3,G37,0)</f>
        <v>0</v>
      </c>
      <c r="BD37" s="434">
        <f>IF(AZ37=4,G37,0)</f>
        <v>0</v>
      </c>
      <c r="BE37" s="434">
        <f>IF(AZ37=5,G37,0)</f>
        <v>0</v>
      </c>
      <c r="CA37" s="444">
        <v>1</v>
      </c>
      <c r="CB37" s="444">
        <v>1</v>
      </c>
    </row>
    <row r="38" spans="1:15" ht="12.75">
      <c r="A38" s="478"/>
      <c r="B38" s="477"/>
      <c r="C38" s="1621" t="s">
        <v>2264</v>
      </c>
      <c r="D38" s="1589"/>
      <c r="E38" s="476">
        <v>41.36</v>
      </c>
      <c r="F38" s="475"/>
      <c r="G38" s="230"/>
      <c r="H38" s="474"/>
      <c r="I38" s="473"/>
      <c r="J38" s="436"/>
      <c r="K38" s="473"/>
      <c r="M38" s="472" t="s">
        <v>2264</v>
      </c>
      <c r="O38" s="444"/>
    </row>
    <row r="39" spans="1:15" ht="12.75">
      <c r="A39" s="478"/>
      <c r="B39" s="477"/>
      <c r="C39" s="1621" t="s">
        <v>2265</v>
      </c>
      <c r="D39" s="1589"/>
      <c r="E39" s="476">
        <v>0</v>
      </c>
      <c r="F39" s="475"/>
      <c r="G39" s="230"/>
      <c r="H39" s="474"/>
      <c r="I39" s="473"/>
      <c r="J39" s="436"/>
      <c r="K39" s="473"/>
      <c r="M39" s="472" t="s">
        <v>2265</v>
      </c>
      <c r="O39" s="444"/>
    </row>
    <row r="40" spans="1:80" ht="12.75">
      <c r="A40" s="461">
        <v>16</v>
      </c>
      <c r="B40" s="460" t="s">
        <v>2266</v>
      </c>
      <c r="C40" s="459" t="s">
        <v>2267</v>
      </c>
      <c r="D40" s="458" t="s">
        <v>145</v>
      </c>
      <c r="E40" s="457">
        <v>16.125</v>
      </c>
      <c r="F40" s="457">
        <v>0</v>
      </c>
      <c r="G40" s="456">
        <f>E40*F40</f>
        <v>0</v>
      </c>
      <c r="H40" s="455">
        <v>0.00023</v>
      </c>
      <c r="I40" s="454">
        <f>E40*H40</f>
        <v>0.0037087500000000002</v>
      </c>
      <c r="J40" s="455"/>
      <c r="K40" s="454">
        <f>E40*J40</f>
        <v>0</v>
      </c>
      <c r="O40" s="444">
        <v>2</v>
      </c>
      <c r="AA40" s="434">
        <v>3</v>
      </c>
      <c r="AB40" s="434">
        <v>1</v>
      </c>
      <c r="AC40" s="434">
        <v>67352027</v>
      </c>
      <c r="AZ40" s="434">
        <v>1</v>
      </c>
      <c r="BA40" s="434">
        <f>IF(AZ40=1,G40,0)</f>
        <v>0</v>
      </c>
      <c r="BB40" s="434">
        <f>IF(AZ40=2,G40,0)</f>
        <v>0</v>
      </c>
      <c r="BC40" s="434">
        <f>IF(AZ40=3,G40,0)</f>
        <v>0</v>
      </c>
      <c r="BD40" s="434">
        <f>IF(AZ40=4,G40,0)</f>
        <v>0</v>
      </c>
      <c r="BE40" s="434">
        <f>IF(AZ40=5,G40,0)</f>
        <v>0</v>
      </c>
      <c r="CA40" s="444">
        <v>3</v>
      </c>
      <c r="CB40" s="444">
        <v>1</v>
      </c>
    </row>
    <row r="41" spans="1:15" ht="12.75">
      <c r="A41" s="478"/>
      <c r="B41" s="477"/>
      <c r="C41" s="1621" t="s">
        <v>2268</v>
      </c>
      <c r="D41" s="1589"/>
      <c r="E41" s="476">
        <v>16.125</v>
      </c>
      <c r="F41" s="475"/>
      <c r="G41" s="230"/>
      <c r="H41" s="474"/>
      <c r="I41" s="473"/>
      <c r="J41" s="436"/>
      <c r="K41" s="473"/>
      <c r="M41" s="472" t="s">
        <v>2268</v>
      </c>
      <c r="O41" s="444"/>
    </row>
    <row r="42" spans="1:80" ht="12.75">
      <c r="A42" s="461">
        <v>17</v>
      </c>
      <c r="B42" s="460" t="s">
        <v>2269</v>
      </c>
      <c r="C42" s="459" t="s">
        <v>2270</v>
      </c>
      <c r="D42" s="458" t="s">
        <v>145</v>
      </c>
      <c r="E42" s="457">
        <v>56.4</v>
      </c>
      <c r="F42" s="457">
        <v>0</v>
      </c>
      <c r="G42" s="456">
        <f>E42*F42</f>
        <v>0</v>
      </c>
      <c r="H42" s="455">
        <v>0.0004</v>
      </c>
      <c r="I42" s="454">
        <f>E42*H42</f>
        <v>0.02256</v>
      </c>
      <c r="J42" s="455"/>
      <c r="K42" s="454">
        <f>E42*J42</f>
        <v>0</v>
      </c>
      <c r="O42" s="444">
        <v>2</v>
      </c>
      <c r="AA42" s="434">
        <v>3</v>
      </c>
      <c r="AB42" s="434">
        <v>1</v>
      </c>
      <c r="AC42" s="434">
        <v>69365021</v>
      </c>
      <c r="AZ42" s="434">
        <v>1</v>
      </c>
      <c r="BA42" s="434">
        <f>IF(AZ42=1,G42,0)</f>
        <v>0</v>
      </c>
      <c r="BB42" s="434">
        <f>IF(AZ42=2,G42,0)</f>
        <v>0</v>
      </c>
      <c r="BC42" s="434">
        <f>IF(AZ42=3,G42,0)</f>
        <v>0</v>
      </c>
      <c r="BD42" s="434">
        <f>IF(AZ42=4,G42,0)</f>
        <v>0</v>
      </c>
      <c r="BE42" s="434">
        <f>IF(AZ42=5,G42,0)</f>
        <v>0</v>
      </c>
      <c r="CA42" s="444">
        <v>3</v>
      </c>
      <c r="CB42" s="444">
        <v>1</v>
      </c>
    </row>
    <row r="43" spans="1:15" ht="12.75">
      <c r="A43" s="478"/>
      <c r="B43" s="477"/>
      <c r="C43" s="1621" t="s">
        <v>2271</v>
      </c>
      <c r="D43" s="1589"/>
      <c r="E43" s="476">
        <v>56.4</v>
      </c>
      <c r="F43" s="475"/>
      <c r="G43" s="230"/>
      <c r="H43" s="474"/>
      <c r="I43" s="473"/>
      <c r="J43" s="436"/>
      <c r="K43" s="473"/>
      <c r="M43" s="472" t="s">
        <v>2271</v>
      </c>
      <c r="O43" s="444"/>
    </row>
    <row r="44" spans="1:57" ht="12.75">
      <c r="A44" s="453"/>
      <c r="B44" s="452" t="s">
        <v>175</v>
      </c>
      <c r="C44" s="451" t="s">
        <v>187</v>
      </c>
      <c r="D44" s="450"/>
      <c r="E44" s="449"/>
      <c r="F44" s="448"/>
      <c r="G44" s="447">
        <f>SUM(G23:G43)</f>
        <v>0</v>
      </c>
      <c r="H44" s="446"/>
      <c r="I44" s="445">
        <f>SUM(I23:I43)</f>
        <v>31.373317056</v>
      </c>
      <c r="J44" s="446"/>
      <c r="K44" s="445">
        <f>SUM(K23:K43)</f>
        <v>0</v>
      </c>
      <c r="O44" s="444">
        <v>4</v>
      </c>
      <c r="BA44" s="443">
        <f>SUM(BA23:BA43)</f>
        <v>0</v>
      </c>
      <c r="BB44" s="443">
        <f>SUM(BB23:BB43)</f>
        <v>0</v>
      </c>
      <c r="BC44" s="443">
        <f>SUM(BC23:BC43)</f>
        <v>0</v>
      </c>
      <c r="BD44" s="443">
        <f>SUM(BD23:BD43)</f>
        <v>0</v>
      </c>
      <c r="BE44" s="443">
        <f>SUM(BE23:BE43)</f>
        <v>0</v>
      </c>
    </row>
    <row r="45" spans="1:15" ht="12.75">
      <c r="A45" s="471" t="s">
        <v>140</v>
      </c>
      <c r="B45" s="470" t="s">
        <v>188</v>
      </c>
      <c r="C45" s="469" t="s">
        <v>189</v>
      </c>
      <c r="D45" s="468"/>
      <c r="E45" s="467"/>
      <c r="F45" s="467"/>
      <c r="G45" s="466"/>
      <c r="H45" s="465"/>
      <c r="I45" s="464"/>
      <c r="J45" s="463"/>
      <c r="K45" s="462"/>
      <c r="O45" s="444">
        <v>1</v>
      </c>
    </row>
    <row r="46" spans="1:80" ht="20.4">
      <c r="A46" s="461">
        <v>18</v>
      </c>
      <c r="B46" s="460" t="s">
        <v>190</v>
      </c>
      <c r="C46" s="459" t="s">
        <v>191</v>
      </c>
      <c r="D46" s="458" t="s">
        <v>145</v>
      </c>
      <c r="E46" s="457">
        <v>41.36</v>
      </c>
      <c r="F46" s="457">
        <v>0</v>
      </c>
      <c r="G46" s="456">
        <f>E46*F46</f>
        <v>0</v>
      </c>
      <c r="H46" s="455">
        <v>0.30875</v>
      </c>
      <c r="I46" s="454">
        <f>E46*H46</f>
        <v>12.769900000000002</v>
      </c>
      <c r="J46" s="455">
        <v>0</v>
      </c>
      <c r="K46" s="454">
        <f>E46*J46</f>
        <v>0</v>
      </c>
      <c r="O46" s="444">
        <v>2</v>
      </c>
      <c r="AA46" s="434">
        <v>1</v>
      </c>
      <c r="AB46" s="434">
        <v>1</v>
      </c>
      <c r="AC46" s="434">
        <v>1</v>
      </c>
      <c r="AZ46" s="434">
        <v>1</v>
      </c>
      <c r="BA46" s="434">
        <f>IF(AZ46=1,G46,0)</f>
        <v>0</v>
      </c>
      <c r="BB46" s="434">
        <f>IF(AZ46=2,G46,0)</f>
        <v>0</v>
      </c>
      <c r="BC46" s="434">
        <f>IF(AZ46=3,G46,0)</f>
        <v>0</v>
      </c>
      <c r="BD46" s="434">
        <f>IF(AZ46=4,G46,0)</f>
        <v>0</v>
      </c>
      <c r="BE46" s="434">
        <f>IF(AZ46=5,G46,0)</f>
        <v>0</v>
      </c>
      <c r="CA46" s="444">
        <v>1</v>
      </c>
      <c r="CB46" s="444">
        <v>1</v>
      </c>
    </row>
    <row r="47" spans="1:15" ht="12.75">
      <c r="A47" s="478"/>
      <c r="B47" s="477"/>
      <c r="C47" s="1621" t="s">
        <v>2264</v>
      </c>
      <c r="D47" s="1589"/>
      <c r="E47" s="476">
        <v>41.36</v>
      </c>
      <c r="F47" s="475"/>
      <c r="G47" s="230"/>
      <c r="H47" s="474"/>
      <c r="I47" s="473"/>
      <c r="J47" s="436"/>
      <c r="K47" s="473"/>
      <c r="M47" s="472" t="s">
        <v>2264</v>
      </c>
      <c r="O47" s="444"/>
    </row>
    <row r="48" spans="1:80" ht="12.75">
      <c r="A48" s="461">
        <v>19</v>
      </c>
      <c r="B48" s="460" t="s">
        <v>2272</v>
      </c>
      <c r="C48" s="459" t="s">
        <v>2273</v>
      </c>
      <c r="D48" s="458" t="s">
        <v>166</v>
      </c>
      <c r="E48" s="457">
        <v>0.59</v>
      </c>
      <c r="F48" s="457">
        <v>0</v>
      </c>
      <c r="G48" s="456">
        <f>E48*F48</f>
        <v>0</v>
      </c>
      <c r="H48" s="455">
        <v>1.02064</v>
      </c>
      <c r="I48" s="454">
        <f>E48*H48</f>
        <v>0.6021776</v>
      </c>
      <c r="J48" s="455">
        <v>0</v>
      </c>
      <c r="K48" s="454">
        <f>E48*J48</f>
        <v>0</v>
      </c>
      <c r="O48" s="444">
        <v>2</v>
      </c>
      <c r="AA48" s="434">
        <v>1</v>
      </c>
      <c r="AB48" s="434">
        <v>1</v>
      </c>
      <c r="AC48" s="434">
        <v>1</v>
      </c>
      <c r="AZ48" s="434">
        <v>1</v>
      </c>
      <c r="BA48" s="434">
        <f>IF(AZ48=1,G48,0)</f>
        <v>0</v>
      </c>
      <c r="BB48" s="434">
        <f>IF(AZ48=2,G48,0)</f>
        <v>0</v>
      </c>
      <c r="BC48" s="434">
        <f>IF(AZ48=3,G48,0)</f>
        <v>0</v>
      </c>
      <c r="BD48" s="434">
        <f>IF(AZ48=4,G48,0)</f>
        <v>0</v>
      </c>
      <c r="BE48" s="434">
        <f>IF(AZ48=5,G48,0)</f>
        <v>0</v>
      </c>
      <c r="CA48" s="444">
        <v>1</v>
      </c>
      <c r="CB48" s="444">
        <v>1</v>
      </c>
    </row>
    <row r="49" spans="1:80" ht="20.4">
      <c r="A49" s="461">
        <v>20</v>
      </c>
      <c r="B49" s="460" t="s">
        <v>2274</v>
      </c>
      <c r="C49" s="459" t="s">
        <v>2275</v>
      </c>
      <c r="D49" s="458" t="s">
        <v>154</v>
      </c>
      <c r="E49" s="457">
        <v>7.3125</v>
      </c>
      <c r="F49" s="457">
        <v>0</v>
      </c>
      <c r="G49" s="456">
        <f>E49*F49</f>
        <v>0</v>
      </c>
      <c r="H49" s="455">
        <v>2.33212</v>
      </c>
      <c r="I49" s="454">
        <f>E49*H49</f>
        <v>17.0536275</v>
      </c>
      <c r="J49" s="455">
        <v>0</v>
      </c>
      <c r="K49" s="454">
        <f>E49*J49</f>
        <v>0</v>
      </c>
      <c r="O49" s="444">
        <v>2</v>
      </c>
      <c r="AA49" s="434">
        <v>1</v>
      </c>
      <c r="AB49" s="434">
        <v>1</v>
      </c>
      <c r="AC49" s="434">
        <v>1</v>
      </c>
      <c r="AZ49" s="434">
        <v>1</v>
      </c>
      <c r="BA49" s="434">
        <f>IF(AZ49=1,G49,0)</f>
        <v>0</v>
      </c>
      <c r="BB49" s="434">
        <f>IF(AZ49=2,G49,0)</f>
        <v>0</v>
      </c>
      <c r="BC49" s="434">
        <f>IF(AZ49=3,G49,0)</f>
        <v>0</v>
      </c>
      <c r="BD49" s="434">
        <f>IF(AZ49=4,G49,0)</f>
        <v>0</v>
      </c>
      <c r="BE49" s="434">
        <f>IF(AZ49=5,G49,0)</f>
        <v>0</v>
      </c>
      <c r="CA49" s="444">
        <v>1</v>
      </c>
      <c r="CB49" s="444">
        <v>1</v>
      </c>
    </row>
    <row r="50" spans="1:15" ht="12.75">
      <c r="A50" s="478"/>
      <c r="B50" s="477"/>
      <c r="C50" s="1628" t="s">
        <v>197</v>
      </c>
      <c r="D50" s="1589"/>
      <c r="E50" s="577">
        <v>0</v>
      </c>
      <c r="F50" s="475"/>
      <c r="G50" s="230"/>
      <c r="H50" s="474"/>
      <c r="I50" s="473"/>
      <c r="J50" s="436"/>
      <c r="K50" s="473"/>
      <c r="M50" s="472" t="s">
        <v>197</v>
      </c>
      <c r="O50" s="444"/>
    </row>
    <row r="51" spans="1:15" ht="12.75">
      <c r="A51" s="478"/>
      <c r="B51" s="477"/>
      <c r="C51" s="1628" t="s">
        <v>2276</v>
      </c>
      <c r="D51" s="1589"/>
      <c r="E51" s="577">
        <v>14.625</v>
      </c>
      <c r="F51" s="475"/>
      <c r="G51" s="230"/>
      <c r="H51" s="474"/>
      <c r="I51" s="473"/>
      <c r="J51" s="436"/>
      <c r="K51" s="473"/>
      <c r="M51" s="472" t="s">
        <v>2276</v>
      </c>
      <c r="O51" s="444"/>
    </row>
    <row r="52" spans="1:15" ht="12.75">
      <c r="A52" s="478"/>
      <c r="B52" s="477"/>
      <c r="C52" s="1628" t="s">
        <v>199</v>
      </c>
      <c r="D52" s="1589"/>
      <c r="E52" s="577">
        <v>14.625</v>
      </c>
      <c r="F52" s="475"/>
      <c r="G52" s="230"/>
      <c r="H52" s="474"/>
      <c r="I52" s="473"/>
      <c r="J52" s="436"/>
      <c r="K52" s="473"/>
      <c r="M52" s="472" t="s">
        <v>199</v>
      </c>
      <c r="O52" s="444"/>
    </row>
    <row r="53" spans="1:15" ht="12.75">
      <c r="A53" s="478"/>
      <c r="B53" s="477"/>
      <c r="C53" s="1621" t="s">
        <v>2277</v>
      </c>
      <c r="D53" s="1589"/>
      <c r="E53" s="476">
        <v>7.3125</v>
      </c>
      <c r="F53" s="475"/>
      <c r="G53" s="230"/>
      <c r="H53" s="474"/>
      <c r="I53" s="473"/>
      <c r="J53" s="436"/>
      <c r="K53" s="473"/>
      <c r="M53" s="472" t="s">
        <v>2277</v>
      </c>
      <c r="O53" s="444"/>
    </row>
    <row r="54" spans="1:57" ht="12.75">
      <c r="A54" s="453"/>
      <c r="B54" s="452" t="s">
        <v>175</v>
      </c>
      <c r="C54" s="451" t="s">
        <v>201</v>
      </c>
      <c r="D54" s="450"/>
      <c r="E54" s="449"/>
      <c r="F54" s="448"/>
      <c r="G54" s="447">
        <f>SUM(G45:G53)</f>
        <v>0</v>
      </c>
      <c r="H54" s="446"/>
      <c r="I54" s="445">
        <f>SUM(I45:I53)</f>
        <v>30.425705100000002</v>
      </c>
      <c r="J54" s="446"/>
      <c r="K54" s="445">
        <f>SUM(K45:K53)</f>
        <v>0</v>
      </c>
      <c r="O54" s="444">
        <v>4</v>
      </c>
      <c r="BA54" s="443">
        <f>SUM(BA45:BA53)</f>
        <v>0</v>
      </c>
      <c r="BB54" s="443">
        <f>SUM(BB45:BB53)</f>
        <v>0</v>
      </c>
      <c r="BC54" s="443">
        <f>SUM(BC45:BC53)</f>
        <v>0</v>
      </c>
      <c r="BD54" s="443">
        <f>SUM(BD45:BD53)</f>
        <v>0</v>
      </c>
      <c r="BE54" s="443">
        <f>SUM(BE45:BE53)</f>
        <v>0</v>
      </c>
    </row>
    <row r="55" spans="1:15" ht="12.75">
      <c r="A55" s="471" t="s">
        <v>140</v>
      </c>
      <c r="B55" s="470" t="s">
        <v>463</v>
      </c>
      <c r="C55" s="469" t="s">
        <v>563</v>
      </c>
      <c r="D55" s="468"/>
      <c r="E55" s="467"/>
      <c r="F55" s="467"/>
      <c r="G55" s="466"/>
      <c r="H55" s="465"/>
      <c r="I55" s="464"/>
      <c r="J55" s="463"/>
      <c r="K55" s="462"/>
      <c r="O55" s="444">
        <v>1</v>
      </c>
    </row>
    <row r="56" spans="1:80" ht="12.75">
      <c r="A56" s="461">
        <v>21</v>
      </c>
      <c r="B56" s="460" t="s">
        <v>2278</v>
      </c>
      <c r="C56" s="459" t="s">
        <v>2279</v>
      </c>
      <c r="D56" s="458" t="s">
        <v>231</v>
      </c>
      <c r="E56" s="457">
        <v>6</v>
      </c>
      <c r="F56" s="457">
        <v>0</v>
      </c>
      <c r="G56" s="456">
        <f>E56*F56</f>
        <v>0</v>
      </c>
      <c r="H56" s="455">
        <v>0</v>
      </c>
      <c r="I56" s="454">
        <f>E56*H56</f>
        <v>0</v>
      </c>
      <c r="J56" s="455">
        <v>0</v>
      </c>
      <c r="K56" s="454">
        <f>E56*J56</f>
        <v>0</v>
      </c>
      <c r="O56" s="444">
        <v>2</v>
      </c>
      <c r="AA56" s="434">
        <v>1</v>
      </c>
      <c r="AB56" s="434">
        <v>0</v>
      </c>
      <c r="AC56" s="434">
        <v>0</v>
      </c>
      <c r="AZ56" s="434">
        <v>1</v>
      </c>
      <c r="BA56" s="434">
        <f>IF(AZ56=1,G56,0)</f>
        <v>0</v>
      </c>
      <c r="BB56" s="434">
        <f>IF(AZ56=2,G56,0)</f>
        <v>0</v>
      </c>
      <c r="BC56" s="434">
        <f>IF(AZ56=3,G56,0)</f>
        <v>0</v>
      </c>
      <c r="BD56" s="434">
        <f>IF(AZ56=4,G56,0)</f>
        <v>0</v>
      </c>
      <c r="BE56" s="434">
        <f>IF(AZ56=5,G56,0)</f>
        <v>0</v>
      </c>
      <c r="CA56" s="444">
        <v>1</v>
      </c>
      <c r="CB56" s="444">
        <v>0</v>
      </c>
    </row>
    <row r="57" spans="1:15" ht="12.75">
      <c r="A57" s="478"/>
      <c r="B57" s="477"/>
      <c r="C57" s="1621" t="s">
        <v>2280</v>
      </c>
      <c r="D57" s="1589"/>
      <c r="E57" s="476">
        <v>6</v>
      </c>
      <c r="F57" s="475"/>
      <c r="G57" s="230"/>
      <c r="H57" s="474"/>
      <c r="I57" s="473"/>
      <c r="J57" s="436"/>
      <c r="K57" s="473"/>
      <c r="M57" s="472" t="s">
        <v>2280</v>
      </c>
      <c r="O57" s="444"/>
    </row>
    <row r="58" spans="1:80" ht="12.75">
      <c r="A58" s="461">
        <v>22</v>
      </c>
      <c r="B58" s="460" t="s">
        <v>2281</v>
      </c>
      <c r="C58" s="459" t="s">
        <v>2282</v>
      </c>
      <c r="D58" s="458" t="s">
        <v>154</v>
      </c>
      <c r="E58" s="457">
        <v>6.528</v>
      </c>
      <c r="F58" s="457">
        <v>0</v>
      </c>
      <c r="G58" s="456">
        <f>E58*F58</f>
        <v>0</v>
      </c>
      <c r="H58" s="455">
        <v>2.52522</v>
      </c>
      <c r="I58" s="454">
        <f>E58*H58</f>
        <v>16.484636159999997</v>
      </c>
      <c r="J58" s="455">
        <v>0</v>
      </c>
      <c r="K58" s="454">
        <f>E58*J58</f>
        <v>0</v>
      </c>
      <c r="O58" s="444">
        <v>2</v>
      </c>
      <c r="AA58" s="434">
        <v>1</v>
      </c>
      <c r="AB58" s="434">
        <v>1</v>
      </c>
      <c r="AC58" s="434">
        <v>1</v>
      </c>
      <c r="AZ58" s="434">
        <v>1</v>
      </c>
      <c r="BA58" s="434">
        <f>IF(AZ58=1,G58,0)</f>
        <v>0</v>
      </c>
      <c r="BB58" s="434">
        <f>IF(AZ58=2,G58,0)</f>
        <v>0</v>
      </c>
      <c r="BC58" s="434">
        <f>IF(AZ58=3,G58,0)</f>
        <v>0</v>
      </c>
      <c r="BD58" s="434">
        <f>IF(AZ58=4,G58,0)</f>
        <v>0</v>
      </c>
      <c r="BE58" s="434">
        <f>IF(AZ58=5,G58,0)</f>
        <v>0</v>
      </c>
      <c r="CA58" s="444">
        <v>1</v>
      </c>
      <c r="CB58" s="444">
        <v>1</v>
      </c>
    </row>
    <row r="59" spans="1:15" ht="12.75">
      <c r="A59" s="478"/>
      <c r="B59" s="477"/>
      <c r="C59" s="1621" t="s">
        <v>2283</v>
      </c>
      <c r="D59" s="1589"/>
      <c r="E59" s="476">
        <v>6.528</v>
      </c>
      <c r="F59" s="475"/>
      <c r="G59" s="230"/>
      <c r="H59" s="474"/>
      <c r="I59" s="473"/>
      <c r="J59" s="436"/>
      <c r="K59" s="473"/>
      <c r="M59" s="472" t="s">
        <v>2283</v>
      </c>
      <c r="O59" s="444"/>
    </row>
    <row r="60" spans="1:80" ht="20.4">
      <c r="A60" s="461">
        <v>23</v>
      </c>
      <c r="B60" s="460" t="s">
        <v>2284</v>
      </c>
      <c r="C60" s="459" t="s">
        <v>2285</v>
      </c>
      <c r="D60" s="458" t="s">
        <v>145</v>
      </c>
      <c r="E60" s="457">
        <v>18</v>
      </c>
      <c r="F60" s="457">
        <v>0</v>
      </c>
      <c r="G60" s="456">
        <f>E60*F60</f>
        <v>0</v>
      </c>
      <c r="H60" s="455">
        <v>0.04857</v>
      </c>
      <c r="I60" s="454">
        <f>E60*H60</f>
        <v>0.87426</v>
      </c>
      <c r="J60" s="455">
        <v>0</v>
      </c>
      <c r="K60" s="454">
        <f>E60*J60</f>
        <v>0</v>
      </c>
      <c r="O60" s="444">
        <v>2</v>
      </c>
      <c r="AA60" s="434">
        <v>1</v>
      </c>
      <c r="AB60" s="434">
        <v>1</v>
      </c>
      <c r="AC60" s="434">
        <v>1</v>
      </c>
      <c r="AZ60" s="434">
        <v>1</v>
      </c>
      <c r="BA60" s="434">
        <f>IF(AZ60=1,G60,0)</f>
        <v>0</v>
      </c>
      <c r="BB60" s="434">
        <f>IF(AZ60=2,G60,0)</f>
        <v>0</v>
      </c>
      <c r="BC60" s="434">
        <f>IF(AZ60=3,G60,0)</f>
        <v>0</v>
      </c>
      <c r="BD60" s="434">
        <f>IF(AZ60=4,G60,0)</f>
        <v>0</v>
      </c>
      <c r="BE60" s="434">
        <f>IF(AZ60=5,G60,0)</f>
        <v>0</v>
      </c>
      <c r="CA60" s="444">
        <v>1</v>
      </c>
      <c r="CB60" s="444">
        <v>1</v>
      </c>
    </row>
    <row r="61" spans="1:15" ht="12.75">
      <c r="A61" s="478"/>
      <c r="B61" s="477"/>
      <c r="C61" s="1621" t="s">
        <v>2286</v>
      </c>
      <c r="D61" s="1589"/>
      <c r="E61" s="476">
        <v>18</v>
      </c>
      <c r="F61" s="475"/>
      <c r="G61" s="230"/>
      <c r="H61" s="474"/>
      <c r="I61" s="473"/>
      <c r="J61" s="436"/>
      <c r="K61" s="473"/>
      <c r="M61" s="472" t="s">
        <v>2286</v>
      </c>
      <c r="O61" s="444"/>
    </row>
    <row r="62" spans="1:80" ht="12.75">
      <c r="A62" s="461">
        <v>24</v>
      </c>
      <c r="B62" s="460" t="s">
        <v>2287</v>
      </c>
      <c r="C62" s="459" t="s">
        <v>2288</v>
      </c>
      <c r="D62" s="458" t="s">
        <v>145</v>
      </c>
      <c r="E62" s="457">
        <v>18</v>
      </c>
      <c r="F62" s="457">
        <v>0</v>
      </c>
      <c r="G62" s="456">
        <f>E62*F62</f>
        <v>0</v>
      </c>
      <c r="H62" s="455">
        <v>0</v>
      </c>
      <c r="I62" s="454">
        <f>E62*H62</f>
        <v>0</v>
      </c>
      <c r="J62" s="455">
        <v>0</v>
      </c>
      <c r="K62" s="454">
        <f>E62*J62</f>
        <v>0</v>
      </c>
      <c r="O62" s="444">
        <v>2</v>
      </c>
      <c r="AA62" s="434">
        <v>1</v>
      </c>
      <c r="AB62" s="434">
        <v>1</v>
      </c>
      <c r="AC62" s="434">
        <v>1</v>
      </c>
      <c r="AZ62" s="434">
        <v>1</v>
      </c>
      <c r="BA62" s="434">
        <f>IF(AZ62=1,G62,0)</f>
        <v>0</v>
      </c>
      <c r="BB62" s="434">
        <f>IF(AZ62=2,G62,0)</f>
        <v>0</v>
      </c>
      <c r="BC62" s="434">
        <f>IF(AZ62=3,G62,0)</f>
        <v>0</v>
      </c>
      <c r="BD62" s="434">
        <f>IF(AZ62=4,G62,0)</f>
        <v>0</v>
      </c>
      <c r="BE62" s="434">
        <f>IF(AZ62=5,G62,0)</f>
        <v>0</v>
      </c>
      <c r="CA62" s="444">
        <v>1</v>
      </c>
      <c r="CB62" s="444">
        <v>1</v>
      </c>
    </row>
    <row r="63" spans="1:15" ht="12.75">
      <c r="A63" s="478"/>
      <c r="B63" s="477"/>
      <c r="C63" s="1621" t="s">
        <v>2286</v>
      </c>
      <c r="D63" s="1589"/>
      <c r="E63" s="476">
        <v>18</v>
      </c>
      <c r="F63" s="475"/>
      <c r="G63" s="230"/>
      <c r="H63" s="474"/>
      <c r="I63" s="473"/>
      <c r="J63" s="436"/>
      <c r="K63" s="473"/>
      <c r="M63" s="472" t="s">
        <v>2286</v>
      </c>
      <c r="O63" s="444"/>
    </row>
    <row r="64" spans="1:80" ht="12.75">
      <c r="A64" s="461">
        <v>25</v>
      </c>
      <c r="B64" s="460" t="s">
        <v>2289</v>
      </c>
      <c r="C64" s="459" t="s">
        <v>2290</v>
      </c>
      <c r="D64" s="458" t="s">
        <v>166</v>
      </c>
      <c r="E64" s="457">
        <v>1.6</v>
      </c>
      <c r="F64" s="457">
        <v>0</v>
      </c>
      <c r="G64" s="456">
        <f>E64*F64</f>
        <v>0</v>
      </c>
      <c r="H64" s="455">
        <v>1.02139</v>
      </c>
      <c r="I64" s="454">
        <f>E64*H64</f>
        <v>1.6342240000000001</v>
      </c>
      <c r="J64" s="455">
        <v>0</v>
      </c>
      <c r="K64" s="454">
        <f>E64*J64</f>
        <v>0</v>
      </c>
      <c r="O64" s="444">
        <v>2</v>
      </c>
      <c r="AA64" s="434">
        <v>1</v>
      </c>
      <c r="AB64" s="434">
        <v>1</v>
      </c>
      <c r="AC64" s="434">
        <v>1</v>
      </c>
      <c r="AZ64" s="434">
        <v>1</v>
      </c>
      <c r="BA64" s="434">
        <f>IF(AZ64=1,G64,0)</f>
        <v>0</v>
      </c>
      <c r="BB64" s="434">
        <f>IF(AZ64=2,G64,0)</f>
        <v>0</v>
      </c>
      <c r="BC64" s="434">
        <f>IF(AZ64=3,G64,0)</f>
        <v>0</v>
      </c>
      <c r="BD64" s="434">
        <f>IF(AZ64=4,G64,0)</f>
        <v>0</v>
      </c>
      <c r="BE64" s="434">
        <f>IF(AZ64=5,G64,0)</f>
        <v>0</v>
      </c>
      <c r="CA64" s="444">
        <v>1</v>
      </c>
      <c r="CB64" s="444">
        <v>1</v>
      </c>
    </row>
    <row r="65" spans="1:80" ht="12.75">
      <c r="A65" s="461">
        <v>26</v>
      </c>
      <c r="B65" s="460" t="s">
        <v>2291</v>
      </c>
      <c r="C65" s="459" t="s">
        <v>2292</v>
      </c>
      <c r="D65" s="458" t="s">
        <v>154</v>
      </c>
      <c r="E65" s="457">
        <v>0.06</v>
      </c>
      <c r="F65" s="457">
        <v>0</v>
      </c>
      <c r="G65" s="456">
        <f>E65*F65</f>
        <v>0</v>
      </c>
      <c r="H65" s="455">
        <v>2.52511</v>
      </c>
      <c r="I65" s="454">
        <f>E65*H65</f>
        <v>0.15150660000000002</v>
      </c>
      <c r="J65" s="455">
        <v>0</v>
      </c>
      <c r="K65" s="454">
        <f>E65*J65</f>
        <v>0</v>
      </c>
      <c r="O65" s="444">
        <v>2</v>
      </c>
      <c r="AA65" s="434">
        <v>1</v>
      </c>
      <c r="AB65" s="434">
        <v>1</v>
      </c>
      <c r="AC65" s="434">
        <v>1</v>
      </c>
      <c r="AZ65" s="434">
        <v>1</v>
      </c>
      <c r="BA65" s="434">
        <f>IF(AZ65=1,G65,0)</f>
        <v>0</v>
      </c>
      <c r="BB65" s="434">
        <f>IF(AZ65=2,G65,0)</f>
        <v>0</v>
      </c>
      <c r="BC65" s="434">
        <f>IF(AZ65=3,G65,0)</f>
        <v>0</v>
      </c>
      <c r="BD65" s="434">
        <f>IF(AZ65=4,G65,0)</f>
        <v>0</v>
      </c>
      <c r="BE65" s="434">
        <f>IF(AZ65=5,G65,0)</f>
        <v>0</v>
      </c>
      <c r="CA65" s="444">
        <v>1</v>
      </c>
      <c r="CB65" s="444">
        <v>1</v>
      </c>
    </row>
    <row r="66" spans="1:15" ht="12.75">
      <c r="A66" s="478"/>
      <c r="B66" s="477"/>
      <c r="C66" s="1621" t="s">
        <v>2293</v>
      </c>
      <c r="D66" s="1589"/>
      <c r="E66" s="476">
        <v>0.06</v>
      </c>
      <c r="F66" s="475"/>
      <c r="G66" s="230"/>
      <c r="H66" s="474"/>
      <c r="I66" s="473"/>
      <c r="J66" s="436"/>
      <c r="K66" s="473"/>
      <c r="M66" s="472" t="s">
        <v>2293</v>
      </c>
      <c r="O66" s="444"/>
    </row>
    <row r="67" spans="1:80" ht="12.75">
      <c r="A67" s="461">
        <v>27</v>
      </c>
      <c r="B67" s="460" t="s">
        <v>2294</v>
      </c>
      <c r="C67" s="459" t="s">
        <v>2295</v>
      </c>
      <c r="D67" s="458" t="s">
        <v>231</v>
      </c>
      <c r="E67" s="457">
        <v>1.5</v>
      </c>
      <c r="F67" s="457">
        <v>0</v>
      </c>
      <c r="G67" s="456">
        <f>E67*F67</f>
        <v>0</v>
      </c>
      <c r="H67" s="455">
        <v>0.18197</v>
      </c>
      <c r="I67" s="454">
        <f>E67*H67</f>
        <v>0.272955</v>
      </c>
      <c r="J67" s="455">
        <v>0</v>
      </c>
      <c r="K67" s="454">
        <f>E67*J67</f>
        <v>0</v>
      </c>
      <c r="O67" s="444">
        <v>2</v>
      </c>
      <c r="AA67" s="434">
        <v>1</v>
      </c>
      <c r="AB67" s="434">
        <v>1</v>
      </c>
      <c r="AC67" s="434">
        <v>1</v>
      </c>
      <c r="AZ67" s="434">
        <v>1</v>
      </c>
      <c r="BA67" s="434">
        <f>IF(AZ67=1,G67,0)</f>
        <v>0</v>
      </c>
      <c r="BB67" s="434">
        <f>IF(AZ67=2,G67,0)</f>
        <v>0</v>
      </c>
      <c r="BC67" s="434">
        <f>IF(AZ67=3,G67,0)</f>
        <v>0</v>
      </c>
      <c r="BD67" s="434">
        <f>IF(AZ67=4,G67,0)</f>
        <v>0</v>
      </c>
      <c r="BE67" s="434">
        <f>IF(AZ67=5,G67,0)</f>
        <v>0</v>
      </c>
      <c r="CA67" s="444">
        <v>1</v>
      </c>
      <c r="CB67" s="444">
        <v>1</v>
      </c>
    </row>
    <row r="68" spans="1:15" ht="12.75">
      <c r="A68" s="478"/>
      <c r="B68" s="477"/>
      <c r="C68" s="1621" t="s">
        <v>2296</v>
      </c>
      <c r="D68" s="1589"/>
      <c r="E68" s="476">
        <v>1.5</v>
      </c>
      <c r="F68" s="475"/>
      <c r="G68" s="230"/>
      <c r="H68" s="474"/>
      <c r="I68" s="473"/>
      <c r="J68" s="436"/>
      <c r="K68" s="473"/>
      <c r="M68" s="472" t="s">
        <v>2296</v>
      </c>
      <c r="O68" s="444"/>
    </row>
    <row r="69" spans="1:80" ht="12.75">
      <c r="A69" s="461">
        <v>28</v>
      </c>
      <c r="B69" s="460" t="s">
        <v>2297</v>
      </c>
      <c r="C69" s="459" t="s">
        <v>2298</v>
      </c>
      <c r="D69" s="458" t="s">
        <v>231</v>
      </c>
      <c r="E69" s="457">
        <v>1.5</v>
      </c>
      <c r="F69" s="457">
        <v>0</v>
      </c>
      <c r="G69" s="456">
        <f>E69*F69</f>
        <v>0</v>
      </c>
      <c r="H69" s="455">
        <v>0</v>
      </c>
      <c r="I69" s="454">
        <f>E69*H69</f>
        <v>0</v>
      </c>
      <c r="J69" s="455">
        <v>0</v>
      </c>
      <c r="K69" s="454">
        <f>E69*J69</f>
        <v>0</v>
      </c>
      <c r="O69" s="444">
        <v>2</v>
      </c>
      <c r="AA69" s="434">
        <v>1</v>
      </c>
      <c r="AB69" s="434">
        <v>1</v>
      </c>
      <c r="AC69" s="434">
        <v>1</v>
      </c>
      <c r="AZ69" s="434">
        <v>1</v>
      </c>
      <c r="BA69" s="434">
        <f>IF(AZ69=1,G69,0)</f>
        <v>0</v>
      </c>
      <c r="BB69" s="434">
        <f>IF(AZ69=2,G69,0)</f>
        <v>0</v>
      </c>
      <c r="BC69" s="434">
        <f>IF(AZ69=3,G69,0)</f>
        <v>0</v>
      </c>
      <c r="BD69" s="434">
        <f>IF(AZ69=4,G69,0)</f>
        <v>0</v>
      </c>
      <c r="BE69" s="434">
        <f>IF(AZ69=5,G69,0)</f>
        <v>0</v>
      </c>
      <c r="CA69" s="444">
        <v>1</v>
      </c>
      <c r="CB69" s="444">
        <v>1</v>
      </c>
    </row>
    <row r="70" spans="1:80" ht="12.75">
      <c r="A70" s="461">
        <v>29</v>
      </c>
      <c r="B70" s="460" t="s">
        <v>2299</v>
      </c>
      <c r="C70" s="459" t="s">
        <v>2300</v>
      </c>
      <c r="D70" s="458" t="s">
        <v>166</v>
      </c>
      <c r="E70" s="457">
        <v>0.02</v>
      </c>
      <c r="F70" s="457">
        <v>0</v>
      </c>
      <c r="G70" s="456">
        <f>E70*F70</f>
        <v>0</v>
      </c>
      <c r="H70" s="455">
        <v>1.01939</v>
      </c>
      <c r="I70" s="454">
        <f>E70*H70</f>
        <v>0.0203878</v>
      </c>
      <c r="J70" s="455">
        <v>0</v>
      </c>
      <c r="K70" s="454">
        <f>E70*J70</f>
        <v>0</v>
      </c>
      <c r="O70" s="444">
        <v>2</v>
      </c>
      <c r="AA70" s="434">
        <v>1</v>
      </c>
      <c r="AB70" s="434">
        <v>1</v>
      </c>
      <c r="AC70" s="434">
        <v>1</v>
      </c>
      <c r="AZ70" s="434">
        <v>1</v>
      </c>
      <c r="BA70" s="434">
        <f>IF(AZ70=1,G70,0)</f>
        <v>0</v>
      </c>
      <c r="BB70" s="434">
        <f>IF(AZ70=2,G70,0)</f>
        <v>0</v>
      </c>
      <c r="BC70" s="434">
        <f>IF(AZ70=3,G70,0)</f>
        <v>0</v>
      </c>
      <c r="BD70" s="434">
        <f>IF(AZ70=4,G70,0)</f>
        <v>0</v>
      </c>
      <c r="BE70" s="434">
        <f>IF(AZ70=5,G70,0)</f>
        <v>0</v>
      </c>
      <c r="CA70" s="444">
        <v>1</v>
      </c>
      <c r="CB70" s="444">
        <v>1</v>
      </c>
    </row>
    <row r="71" spans="1:15" ht="12.75">
      <c r="A71" s="478"/>
      <c r="B71" s="477"/>
      <c r="C71" s="1621" t="s">
        <v>2301</v>
      </c>
      <c r="D71" s="1589"/>
      <c r="E71" s="476">
        <v>0.02</v>
      </c>
      <c r="F71" s="475"/>
      <c r="G71" s="230"/>
      <c r="H71" s="474"/>
      <c r="I71" s="473"/>
      <c r="J71" s="436"/>
      <c r="K71" s="473"/>
      <c r="M71" s="472" t="s">
        <v>2301</v>
      </c>
      <c r="O71" s="444"/>
    </row>
    <row r="72" spans="1:80" ht="12.75">
      <c r="A72" s="461">
        <v>30</v>
      </c>
      <c r="B72" s="460" t="s">
        <v>581</v>
      </c>
      <c r="C72" s="459" t="s">
        <v>2302</v>
      </c>
      <c r="D72" s="458" t="s">
        <v>145</v>
      </c>
      <c r="E72" s="457">
        <v>11.28</v>
      </c>
      <c r="F72" s="457">
        <v>0</v>
      </c>
      <c r="G72" s="456">
        <f>E72*F72</f>
        <v>0</v>
      </c>
      <c r="H72" s="455">
        <v>0.00782</v>
      </c>
      <c r="I72" s="454">
        <f>E72*H72</f>
        <v>0.0882096</v>
      </c>
      <c r="J72" s="455">
        <v>0</v>
      </c>
      <c r="K72" s="454">
        <f>E72*J72</f>
        <v>0</v>
      </c>
      <c r="O72" s="444">
        <v>2</v>
      </c>
      <c r="AA72" s="434">
        <v>1</v>
      </c>
      <c r="AB72" s="434">
        <v>1</v>
      </c>
      <c r="AC72" s="434">
        <v>1</v>
      </c>
      <c r="AZ72" s="434">
        <v>1</v>
      </c>
      <c r="BA72" s="434">
        <f>IF(AZ72=1,G72,0)</f>
        <v>0</v>
      </c>
      <c r="BB72" s="434">
        <f>IF(AZ72=2,G72,0)</f>
        <v>0</v>
      </c>
      <c r="BC72" s="434">
        <f>IF(AZ72=3,G72,0)</f>
        <v>0</v>
      </c>
      <c r="BD72" s="434">
        <f>IF(AZ72=4,G72,0)</f>
        <v>0</v>
      </c>
      <c r="BE72" s="434">
        <f>IF(AZ72=5,G72,0)</f>
        <v>0</v>
      </c>
      <c r="CA72" s="444">
        <v>1</v>
      </c>
      <c r="CB72" s="444">
        <v>1</v>
      </c>
    </row>
    <row r="73" spans="1:15" ht="12.75">
      <c r="A73" s="478"/>
      <c r="B73" s="477"/>
      <c r="C73" s="1621" t="s">
        <v>2303</v>
      </c>
      <c r="D73" s="1589"/>
      <c r="E73" s="476">
        <v>11.28</v>
      </c>
      <c r="F73" s="475"/>
      <c r="G73" s="230"/>
      <c r="H73" s="474"/>
      <c r="I73" s="473"/>
      <c r="J73" s="436"/>
      <c r="K73" s="473"/>
      <c r="M73" s="472" t="s">
        <v>2303</v>
      </c>
      <c r="O73" s="444"/>
    </row>
    <row r="74" spans="1:80" ht="12.75">
      <c r="A74" s="461">
        <v>31</v>
      </c>
      <c r="B74" s="460" t="s">
        <v>586</v>
      </c>
      <c r="C74" s="459" t="s">
        <v>2304</v>
      </c>
      <c r="D74" s="458" t="s">
        <v>145</v>
      </c>
      <c r="E74" s="457">
        <v>11.28</v>
      </c>
      <c r="F74" s="457">
        <v>0</v>
      </c>
      <c r="G74" s="456">
        <f>E74*F74</f>
        <v>0</v>
      </c>
      <c r="H74" s="455">
        <v>0</v>
      </c>
      <c r="I74" s="454">
        <f>E74*H74</f>
        <v>0</v>
      </c>
      <c r="J74" s="455">
        <v>0</v>
      </c>
      <c r="K74" s="454">
        <f>E74*J74</f>
        <v>0</v>
      </c>
      <c r="O74" s="444">
        <v>2</v>
      </c>
      <c r="AA74" s="434">
        <v>1</v>
      </c>
      <c r="AB74" s="434">
        <v>1</v>
      </c>
      <c r="AC74" s="434">
        <v>1</v>
      </c>
      <c r="AZ74" s="434">
        <v>1</v>
      </c>
      <c r="BA74" s="434">
        <f>IF(AZ74=1,G74,0)</f>
        <v>0</v>
      </c>
      <c r="BB74" s="434">
        <f>IF(AZ74=2,G74,0)</f>
        <v>0</v>
      </c>
      <c r="BC74" s="434">
        <f>IF(AZ74=3,G74,0)</f>
        <v>0</v>
      </c>
      <c r="BD74" s="434">
        <f>IF(AZ74=4,G74,0)</f>
        <v>0</v>
      </c>
      <c r="BE74" s="434">
        <f>IF(AZ74=5,G74,0)</f>
        <v>0</v>
      </c>
      <c r="CA74" s="444">
        <v>1</v>
      </c>
      <c r="CB74" s="444">
        <v>1</v>
      </c>
    </row>
    <row r="75" spans="1:57" ht="12.75">
      <c r="A75" s="453"/>
      <c r="B75" s="452" t="s">
        <v>175</v>
      </c>
      <c r="C75" s="451" t="s">
        <v>593</v>
      </c>
      <c r="D75" s="450"/>
      <c r="E75" s="449"/>
      <c r="F75" s="448"/>
      <c r="G75" s="447">
        <f>SUM(G55:G74)</f>
        <v>0</v>
      </c>
      <c r="H75" s="446"/>
      <c r="I75" s="445">
        <f>SUM(I55:I74)</f>
        <v>19.526179159999998</v>
      </c>
      <c r="J75" s="446"/>
      <c r="K75" s="445">
        <f>SUM(K55:K74)</f>
        <v>0</v>
      </c>
      <c r="O75" s="444">
        <v>4</v>
      </c>
      <c r="BA75" s="443">
        <f>SUM(BA55:BA74)</f>
        <v>0</v>
      </c>
      <c r="BB75" s="443">
        <f>SUM(BB55:BB74)</f>
        <v>0</v>
      </c>
      <c r="BC75" s="443">
        <f>SUM(BC55:BC74)</f>
        <v>0</v>
      </c>
      <c r="BD75" s="443">
        <f>SUM(BD55:BD74)</f>
        <v>0</v>
      </c>
      <c r="BE75" s="443">
        <f>SUM(BE55:BE74)</f>
        <v>0</v>
      </c>
    </row>
    <row r="76" spans="1:15" ht="12.75">
      <c r="A76" s="471" t="s">
        <v>140</v>
      </c>
      <c r="B76" s="470" t="s">
        <v>462</v>
      </c>
      <c r="C76" s="469" t="s">
        <v>17</v>
      </c>
      <c r="D76" s="468"/>
      <c r="E76" s="467"/>
      <c r="F76" s="467"/>
      <c r="G76" s="466"/>
      <c r="H76" s="465"/>
      <c r="I76" s="464"/>
      <c r="J76" s="463"/>
      <c r="K76" s="462"/>
      <c r="O76" s="444">
        <v>1</v>
      </c>
    </row>
    <row r="77" spans="1:80" ht="12.75">
      <c r="A77" s="461">
        <v>32</v>
      </c>
      <c r="B77" s="460" t="s">
        <v>2305</v>
      </c>
      <c r="C77" s="459" t="s">
        <v>2306</v>
      </c>
      <c r="D77" s="458" t="s">
        <v>145</v>
      </c>
      <c r="E77" s="457">
        <v>4.31</v>
      </c>
      <c r="F77" s="457">
        <v>0</v>
      </c>
      <c r="G77" s="456">
        <f>E77*F77</f>
        <v>0</v>
      </c>
      <c r="H77" s="455">
        <v>0.18907</v>
      </c>
      <c r="I77" s="454">
        <f>E77*H77</f>
        <v>0.8148916999999999</v>
      </c>
      <c r="J77" s="455">
        <v>0</v>
      </c>
      <c r="K77" s="454">
        <f>E77*J77</f>
        <v>0</v>
      </c>
      <c r="O77" s="444">
        <v>2</v>
      </c>
      <c r="AA77" s="434">
        <v>1</v>
      </c>
      <c r="AB77" s="434">
        <v>1</v>
      </c>
      <c r="AC77" s="434">
        <v>1</v>
      </c>
      <c r="AZ77" s="434">
        <v>1</v>
      </c>
      <c r="BA77" s="434">
        <f>IF(AZ77=1,G77,0)</f>
        <v>0</v>
      </c>
      <c r="BB77" s="434">
        <f>IF(AZ77=2,G77,0)</f>
        <v>0</v>
      </c>
      <c r="BC77" s="434">
        <f>IF(AZ77=3,G77,0)</f>
        <v>0</v>
      </c>
      <c r="BD77" s="434">
        <f>IF(AZ77=4,G77,0)</f>
        <v>0</v>
      </c>
      <c r="BE77" s="434">
        <f>IF(AZ77=5,G77,0)</f>
        <v>0</v>
      </c>
      <c r="CA77" s="444">
        <v>1</v>
      </c>
      <c r="CB77" s="444">
        <v>1</v>
      </c>
    </row>
    <row r="78" spans="1:15" ht="12.75">
      <c r="A78" s="478"/>
      <c r="B78" s="477"/>
      <c r="C78" s="1621" t="s">
        <v>2307</v>
      </c>
      <c r="D78" s="1589"/>
      <c r="E78" s="476">
        <v>4.31</v>
      </c>
      <c r="F78" s="475"/>
      <c r="G78" s="230"/>
      <c r="H78" s="474"/>
      <c r="I78" s="473"/>
      <c r="J78" s="436"/>
      <c r="K78" s="473"/>
      <c r="M78" s="472" t="s">
        <v>2307</v>
      </c>
      <c r="O78" s="444"/>
    </row>
    <row r="79" spans="1:80" ht="12.75">
      <c r="A79" s="461">
        <v>33</v>
      </c>
      <c r="B79" s="460" t="s">
        <v>594</v>
      </c>
      <c r="C79" s="459" t="s">
        <v>2308</v>
      </c>
      <c r="D79" s="458" t="s">
        <v>145</v>
      </c>
      <c r="E79" s="457">
        <v>4.31</v>
      </c>
      <c r="F79" s="457">
        <v>0</v>
      </c>
      <c r="G79" s="456">
        <f>E79*F79</f>
        <v>0</v>
      </c>
      <c r="H79" s="455">
        <v>0.27994</v>
      </c>
      <c r="I79" s="454">
        <f>E79*H79</f>
        <v>1.2065413999999999</v>
      </c>
      <c r="J79" s="455">
        <v>0</v>
      </c>
      <c r="K79" s="454">
        <f>E79*J79</f>
        <v>0</v>
      </c>
      <c r="O79" s="444">
        <v>2</v>
      </c>
      <c r="AA79" s="434">
        <v>1</v>
      </c>
      <c r="AB79" s="434">
        <v>1</v>
      </c>
      <c r="AC79" s="434">
        <v>1</v>
      </c>
      <c r="AZ79" s="434">
        <v>1</v>
      </c>
      <c r="BA79" s="434">
        <f>IF(AZ79=1,G79,0)</f>
        <v>0</v>
      </c>
      <c r="BB79" s="434">
        <f>IF(AZ79=2,G79,0)</f>
        <v>0</v>
      </c>
      <c r="BC79" s="434">
        <f>IF(AZ79=3,G79,0)</f>
        <v>0</v>
      </c>
      <c r="BD79" s="434">
        <f>IF(AZ79=4,G79,0)</f>
        <v>0</v>
      </c>
      <c r="BE79" s="434">
        <f>IF(AZ79=5,G79,0)</f>
        <v>0</v>
      </c>
      <c r="CA79" s="444">
        <v>1</v>
      </c>
      <c r="CB79" s="444">
        <v>1</v>
      </c>
    </row>
    <row r="80" spans="1:15" ht="12.75">
      <c r="A80" s="478"/>
      <c r="B80" s="477"/>
      <c r="C80" s="1621" t="s">
        <v>2309</v>
      </c>
      <c r="D80" s="1589"/>
      <c r="E80" s="476">
        <v>4.31</v>
      </c>
      <c r="F80" s="475"/>
      <c r="G80" s="230"/>
      <c r="H80" s="474"/>
      <c r="I80" s="473"/>
      <c r="J80" s="436"/>
      <c r="K80" s="473"/>
      <c r="M80" s="472" t="s">
        <v>2309</v>
      </c>
      <c r="O80" s="444"/>
    </row>
    <row r="81" spans="1:80" ht="12.75">
      <c r="A81" s="461">
        <v>34</v>
      </c>
      <c r="B81" s="460" t="s">
        <v>2310</v>
      </c>
      <c r="C81" s="459" t="s">
        <v>2311</v>
      </c>
      <c r="D81" s="458" t="s">
        <v>145</v>
      </c>
      <c r="E81" s="457">
        <v>4.31</v>
      </c>
      <c r="F81" s="457">
        <v>0</v>
      </c>
      <c r="G81" s="456">
        <f>E81*F81</f>
        <v>0</v>
      </c>
      <c r="H81" s="455">
        <v>0.11</v>
      </c>
      <c r="I81" s="454">
        <f>E81*H81</f>
        <v>0.47409999999999997</v>
      </c>
      <c r="J81" s="455">
        <v>0</v>
      </c>
      <c r="K81" s="454">
        <f>E81*J81</f>
        <v>0</v>
      </c>
      <c r="O81" s="444">
        <v>2</v>
      </c>
      <c r="AA81" s="434">
        <v>1</v>
      </c>
      <c r="AB81" s="434">
        <v>1</v>
      </c>
      <c r="AC81" s="434">
        <v>1</v>
      </c>
      <c r="AZ81" s="434">
        <v>1</v>
      </c>
      <c r="BA81" s="434">
        <f>IF(AZ81=1,G81,0)</f>
        <v>0</v>
      </c>
      <c r="BB81" s="434">
        <f>IF(AZ81=2,G81,0)</f>
        <v>0</v>
      </c>
      <c r="BC81" s="434">
        <f>IF(AZ81=3,G81,0)</f>
        <v>0</v>
      </c>
      <c r="BD81" s="434">
        <f>IF(AZ81=4,G81,0)</f>
        <v>0</v>
      </c>
      <c r="BE81" s="434">
        <f>IF(AZ81=5,G81,0)</f>
        <v>0</v>
      </c>
      <c r="CA81" s="444">
        <v>1</v>
      </c>
      <c r="CB81" s="444">
        <v>1</v>
      </c>
    </row>
    <row r="82" spans="1:15" ht="12.75">
      <c r="A82" s="478"/>
      <c r="B82" s="477"/>
      <c r="C82" s="1621" t="s">
        <v>2309</v>
      </c>
      <c r="D82" s="1589"/>
      <c r="E82" s="476">
        <v>4.31</v>
      </c>
      <c r="F82" s="475"/>
      <c r="G82" s="230"/>
      <c r="H82" s="474"/>
      <c r="I82" s="473"/>
      <c r="J82" s="436"/>
      <c r="K82" s="473"/>
      <c r="M82" s="472" t="s">
        <v>2309</v>
      </c>
      <c r="O82" s="444"/>
    </row>
    <row r="83" spans="1:80" ht="12.75">
      <c r="A83" s="461">
        <v>35</v>
      </c>
      <c r="B83" s="460" t="s">
        <v>2312</v>
      </c>
      <c r="C83" s="459" t="s">
        <v>2313</v>
      </c>
      <c r="D83" s="458" t="s">
        <v>915</v>
      </c>
      <c r="E83" s="457">
        <v>1.724</v>
      </c>
      <c r="F83" s="457">
        <v>0</v>
      </c>
      <c r="G83" s="456">
        <f>E83*F83</f>
        <v>0</v>
      </c>
      <c r="H83" s="455">
        <v>1</v>
      </c>
      <c r="I83" s="454">
        <f>E83*H83</f>
        <v>1.724</v>
      </c>
      <c r="J83" s="455"/>
      <c r="K83" s="454">
        <f>E83*J83</f>
        <v>0</v>
      </c>
      <c r="O83" s="444">
        <v>2</v>
      </c>
      <c r="AA83" s="434">
        <v>3</v>
      </c>
      <c r="AB83" s="434">
        <v>1</v>
      </c>
      <c r="AC83" s="434">
        <v>58380155</v>
      </c>
      <c r="AZ83" s="434">
        <v>1</v>
      </c>
      <c r="BA83" s="434">
        <f>IF(AZ83=1,G83,0)</f>
        <v>0</v>
      </c>
      <c r="BB83" s="434">
        <f>IF(AZ83=2,G83,0)</f>
        <v>0</v>
      </c>
      <c r="BC83" s="434">
        <f>IF(AZ83=3,G83,0)</f>
        <v>0</v>
      </c>
      <c r="BD83" s="434">
        <f>IF(AZ83=4,G83,0)</f>
        <v>0</v>
      </c>
      <c r="BE83" s="434">
        <f>IF(AZ83=5,G83,0)</f>
        <v>0</v>
      </c>
      <c r="CA83" s="444">
        <v>3</v>
      </c>
      <c r="CB83" s="444">
        <v>1</v>
      </c>
    </row>
    <row r="84" spans="1:15" ht="12.75">
      <c r="A84" s="478"/>
      <c r="B84" s="477"/>
      <c r="C84" s="1621" t="s">
        <v>2314</v>
      </c>
      <c r="D84" s="1589"/>
      <c r="E84" s="476">
        <v>1.724</v>
      </c>
      <c r="F84" s="475"/>
      <c r="G84" s="230"/>
      <c r="H84" s="474"/>
      <c r="I84" s="473"/>
      <c r="J84" s="436"/>
      <c r="K84" s="473"/>
      <c r="M84" s="472" t="s">
        <v>2314</v>
      </c>
      <c r="O84" s="444"/>
    </row>
    <row r="85" spans="1:57" ht="12.75">
      <c r="A85" s="453"/>
      <c r="B85" s="452" t="s">
        <v>175</v>
      </c>
      <c r="C85" s="451" t="s">
        <v>605</v>
      </c>
      <c r="D85" s="450"/>
      <c r="E85" s="449"/>
      <c r="F85" s="448"/>
      <c r="G85" s="447">
        <f>SUM(G76:G84)</f>
        <v>0</v>
      </c>
      <c r="H85" s="446"/>
      <c r="I85" s="445">
        <f>SUM(I76:I84)</f>
        <v>4.2195331</v>
      </c>
      <c r="J85" s="446"/>
      <c r="K85" s="445">
        <f>SUM(K76:K84)</f>
        <v>0</v>
      </c>
      <c r="O85" s="444">
        <v>4</v>
      </c>
      <c r="BA85" s="443">
        <f>SUM(BA76:BA84)</f>
        <v>0</v>
      </c>
      <c r="BB85" s="443">
        <f>SUM(BB76:BB84)</f>
        <v>0</v>
      </c>
      <c r="BC85" s="443">
        <f>SUM(BC76:BC84)</f>
        <v>0</v>
      </c>
      <c r="BD85" s="443">
        <f>SUM(BD76:BD84)</f>
        <v>0</v>
      </c>
      <c r="BE85" s="443">
        <f>SUM(BE76:BE84)</f>
        <v>0</v>
      </c>
    </row>
    <row r="86" spans="1:15" ht="12.75">
      <c r="A86" s="471" t="s">
        <v>140</v>
      </c>
      <c r="B86" s="470" t="s">
        <v>639</v>
      </c>
      <c r="C86" s="469" t="s">
        <v>640</v>
      </c>
      <c r="D86" s="468"/>
      <c r="E86" s="467"/>
      <c r="F86" s="467"/>
      <c r="G86" s="466"/>
      <c r="H86" s="465"/>
      <c r="I86" s="464"/>
      <c r="J86" s="463"/>
      <c r="K86" s="462"/>
      <c r="O86" s="444">
        <v>1</v>
      </c>
    </row>
    <row r="87" spans="1:80" ht="12.75">
      <c r="A87" s="461">
        <v>36</v>
      </c>
      <c r="B87" s="460" t="s">
        <v>2315</v>
      </c>
      <c r="C87" s="459" t="s">
        <v>2316</v>
      </c>
      <c r="D87" s="458" t="s">
        <v>154</v>
      </c>
      <c r="E87" s="457">
        <v>1.3056</v>
      </c>
      <c r="F87" s="457">
        <v>0</v>
      </c>
      <c r="G87" s="456">
        <f>E87*F87</f>
        <v>0</v>
      </c>
      <c r="H87" s="455">
        <v>2.525</v>
      </c>
      <c r="I87" s="454">
        <f>E87*H87</f>
        <v>3.29664</v>
      </c>
      <c r="J87" s="455">
        <v>0</v>
      </c>
      <c r="K87" s="454">
        <f>E87*J87</f>
        <v>0</v>
      </c>
      <c r="O87" s="444">
        <v>2</v>
      </c>
      <c r="AA87" s="434">
        <v>1</v>
      </c>
      <c r="AB87" s="434">
        <v>1</v>
      </c>
      <c r="AC87" s="434">
        <v>1</v>
      </c>
      <c r="AZ87" s="434">
        <v>1</v>
      </c>
      <c r="BA87" s="434">
        <f>IF(AZ87=1,G87,0)</f>
        <v>0</v>
      </c>
      <c r="BB87" s="434">
        <f>IF(AZ87=2,G87,0)</f>
        <v>0</v>
      </c>
      <c r="BC87" s="434">
        <f>IF(AZ87=3,G87,0)</f>
        <v>0</v>
      </c>
      <c r="BD87" s="434">
        <f>IF(AZ87=4,G87,0)</f>
        <v>0</v>
      </c>
      <c r="BE87" s="434">
        <f>IF(AZ87=5,G87,0)</f>
        <v>0</v>
      </c>
      <c r="CA87" s="444">
        <v>1</v>
      </c>
      <c r="CB87" s="444">
        <v>1</v>
      </c>
    </row>
    <row r="88" spans="1:15" ht="12.75">
      <c r="A88" s="478"/>
      <c r="B88" s="477"/>
      <c r="C88" s="1621" t="s">
        <v>566</v>
      </c>
      <c r="D88" s="1589"/>
      <c r="E88" s="476">
        <v>0</v>
      </c>
      <c r="F88" s="475"/>
      <c r="G88" s="230"/>
      <c r="H88" s="474"/>
      <c r="I88" s="473"/>
      <c r="J88" s="436"/>
      <c r="K88" s="473"/>
      <c r="M88" s="472" t="s">
        <v>566</v>
      </c>
      <c r="O88" s="444"/>
    </row>
    <row r="89" spans="1:15" ht="12.75">
      <c r="A89" s="478"/>
      <c r="B89" s="477"/>
      <c r="C89" s="1621" t="s">
        <v>2317</v>
      </c>
      <c r="D89" s="1589"/>
      <c r="E89" s="476">
        <v>0.6528</v>
      </c>
      <c r="F89" s="475"/>
      <c r="G89" s="230"/>
      <c r="H89" s="474"/>
      <c r="I89" s="473"/>
      <c r="J89" s="436"/>
      <c r="K89" s="473"/>
      <c r="M89" s="472" t="s">
        <v>2317</v>
      </c>
      <c r="O89" s="444"/>
    </row>
    <row r="90" spans="1:15" ht="12.75">
      <c r="A90" s="478"/>
      <c r="B90" s="477"/>
      <c r="C90" s="1621" t="s">
        <v>2318</v>
      </c>
      <c r="D90" s="1589"/>
      <c r="E90" s="476">
        <v>0.6528</v>
      </c>
      <c r="F90" s="475"/>
      <c r="G90" s="230"/>
      <c r="H90" s="474"/>
      <c r="I90" s="473"/>
      <c r="J90" s="436"/>
      <c r="K90" s="473"/>
      <c r="M90" s="472" t="s">
        <v>2318</v>
      </c>
      <c r="O90" s="444"/>
    </row>
    <row r="91" spans="1:80" ht="12.75">
      <c r="A91" s="461">
        <v>37</v>
      </c>
      <c r="B91" s="460" t="s">
        <v>2319</v>
      </c>
      <c r="C91" s="459" t="s">
        <v>2320</v>
      </c>
      <c r="D91" s="458" t="s">
        <v>154</v>
      </c>
      <c r="E91" s="457">
        <v>1.8</v>
      </c>
      <c r="F91" s="457">
        <v>0</v>
      </c>
      <c r="G91" s="456">
        <f>E91*F91</f>
        <v>0</v>
      </c>
      <c r="H91" s="455">
        <v>2.525</v>
      </c>
      <c r="I91" s="454">
        <f>E91*H91</f>
        <v>4.545</v>
      </c>
      <c r="J91" s="455">
        <v>0</v>
      </c>
      <c r="K91" s="454">
        <f>E91*J91</f>
        <v>0</v>
      </c>
      <c r="O91" s="444">
        <v>2</v>
      </c>
      <c r="AA91" s="434">
        <v>1</v>
      </c>
      <c r="AB91" s="434">
        <v>1</v>
      </c>
      <c r="AC91" s="434">
        <v>1</v>
      </c>
      <c r="AZ91" s="434">
        <v>1</v>
      </c>
      <c r="BA91" s="434">
        <f>IF(AZ91=1,G91,0)</f>
        <v>0</v>
      </c>
      <c r="BB91" s="434">
        <f>IF(AZ91=2,G91,0)</f>
        <v>0</v>
      </c>
      <c r="BC91" s="434">
        <f>IF(AZ91=3,G91,0)</f>
        <v>0</v>
      </c>
      <c r="BD91" s="434">
        <f>IF(AZ91=4,G91,0)</f>
        <v>0</v>
      </c>
      <c r="BE91" s="434">
        <f>IF(AZ91=5,G91,0)</f>
        <v>0</v>
      </c>
      <c r="CA91" s="444">
        <v>1</v>
      </c>
      <c r="CB91" s="444">
        <v>1</v>
      </c>
    </row>
    <row r="92" spans="1:15" ht="12.75">
      <c r="A92" s="478"/>
      <c r="B92" s="477"/>
      <c r="C92" s="1621" t="s">
        <v>2321</v>
      </c>
      <c r="D92" s="1589"/>
      <c r="E92" s="476">
        <v>1.8</v>
      </c>
      <c r="F92" s="475"/>
      <c r="G92" s="230"/>
      <c r="H92" s="474"/>
      <c r="I92" s="473"/>
      <c r="J92" s="436"/>
      <c r="K92" s="473"/>
      <c r="M92" s="472" t="s">
        <v>2321</v>
      </c>
      <c r="O92" s="444"/>
    </row>
    <row r="93" spans="1:80" ht="12.75">
      <c r="A93" s="461">
        <v>38</v>
      </c>
      <c r="B93" s="460" t="s">
        <v>2322</v>
      </c>
      <c r="C93" s="459" t="s">
        <v>2323</v>
      </c>
      <c r="D93" s="458" t="s">
        <v>154</v>
      </c>
      <c r="E93" s="457">
        <v>1.8</v>
      </c>
      <c r="F93" s="457">
        <v>0</v>
      </c>
      <c r="G93" s="456">
        <f>E93*F93</f>
        <v>0</v>
      </c>
      <c r="H93" s="455">
        <v>0.02</v>
      </c>
      <c r="I93" s="454">
        <f>E93*H93</f>
        <v>0.036000000000000004</v>
      </c>
      <c r="J93" s="455">
        <v>0</v>
      </c>
      <c r="K93" s="454">
        <f>E93*J93</f>
        <v>0</v>
      </c>
      <c r="O93" s="444">
        <v>2</v>
      </c>
      <c r="AA93" s="434">
        <v>1</v>
      </c>
      <c r="AB93" s="434">
        <v>1</v>
      </c>
      <c r="AC93" s="434">
        <v>1</v>
      </c>
      <c r="AZ93" s="434">
        <v>1</v>
      </c>
      <c r="BA93" s="434">
        <f>IF(AZ93=1,G93,0)</f>
        <v>0</v>
      </c>
      <c r="BB93" s="434">
        <f>IF(AZ93=2,G93,0)</f>
        <v>0</v>
      </c>
      <c r="BC93" s="434">
        <f>IF(AZ93=3,G93,0)</f>
        <v>0</v>
      </c>
      <c r="BD93" s="434">
        <f>IF(AZ93=4,G93,0)</f>
        <v>0</v>
      </c>
      <c r="BE93" s="434">
        <f>IF(AZ93=5,G93,0)</f>
        <v>0</v>
      </c>
      <c r="CA93" s="444">
        <v>1</v>
      </c>
      <c r="CB93" s="444">
        <v>1</v>
      </c>
    </row>
    <row r="94" spans="1:15" ht="12.75">
      <c r="A94" s="478"/>
      <c r="B94" s="477"/>
      <c r="C94" s="1621" t="s">
        <v>2321</v>
      </c>
      <c r="D94" s="1589"/>
      <c r="E94" s="476">
        <v>1.8</v>
      </c>
      <c r="F94" s="475"/>
      <c r="G94" s="230"/>
      <c r="H94" s="474"/>
      <c r="I94" s="473"/>
      <c r="J94" s="436"/>
      <c r="K94" s="473"/>
      <c r="M94" s="472" t="s">
        <v>2321</v>
      </c>
      <c r="O94" s="444"/>
    </row>
    <row r="95" spans="1:80" ht="12.75">
      <c r="A95" s="461">
        <v>39</v>
      </c>
      <c r="B95" s="460" t="s">
        <v>641</v>
      </c>
      <c r="C95" s="459" t="s">
        <v>642</v>
      </c>
      <c r="D95" s="458" t="s">
        <v>154</v>
      </c>
      <c r="E95" s="457">
        <v>1.8</v>
      </c>
      <c r="F95" s="457">
        <v>0</v>
      </c>
      <c r="G95" s="456">
        <f>E95*F95</f>
        <v>0</v>
      </c>
      <c r="H95" s="455">
        <v>0</v>
      </c>
      <c r="I95" s="454">
        <f>E95*H95</f>
        <v>0</v>
      </c>
      <c r="J95" s="455">
        <v>0</v>
      </c>
      <c r="K95" s="454">
        <f>E95*J95</f>
        <v>0</v>
      </c>
      <c r="O95" s="444">
        <v>2</v>
      </c>
      <c r="AA95" s="434">
        <v>1</v>
      </c>
      <c r="AB95" s="434">
        <v>1</v>
      </c>
      <c r="AC95" s="434">
        <v>1</v>
      </c>
      <c r="AZ95" s="434">
        <v>1</v>
      </c>
      <c r="BA95" s="434">
        <f>IF(AZ95=1,G95,0)</f>
        <v>0</v>
      </c>
      <c r="BB95" s="434">
        <f>IF(AZ95=2,G95,0)</f>
        <v>0</v>
      </c>
      <c r="BC95" s="434">
        <f>IF(AZ95=3,G95,0)</f>
        <v>0</v>
      </c>
      <c r="BD95" s="434">
        <f>IF(AZ95=4,G95,0)</f>
        <v>0</v>
      </c>
      <c r="BE95" s="434">
        <f>IF(AZ95=5,G95,0)</f>
        <v>0</v>
      </c>
      <c r="CA95" s="444">
        <v>1</v>
      </c>
      <c r="CB95" s="444">
        <v>1</v>
      </c>
    </row>
    <row r="96" spans="1:15" ht="12.75">
      <c r="A96" s="478"/>
      <c r="B96" s="477"/>
      <c r="C96" s="1621" t="s">
        <v>2321</v>
      </c>
      <c r="D96" s="1589"/>
      <c r="E96" s="476">
        <v>1.8</v>
      </c>
      <c r="F96" s="475"/>
      <c r="G96" s="230"/>
      <c r="H96" s="474"/>
      <c r="I96" s="473"/>
      <c r="J96" s="436"/>
      <c r="K96" s="473"/>
      <c r="M96" s="472" t="s">
        <v>2321</v>
      </c>
      <c r="O96" s="444"/>
    </row>
    <row r="97" spans="1:80" ht="12.75">
      <c r="A97" s="461">
        <v>40</v>
      </c>
      <c r="B97" s="460" t="s">
        <v>641</v>
      </c>
      <c r="C97" s="459" t="s">
        <v>2324</v>
      </c>
      <c r="D97" s="458" t="s">
        <v>154</v>
      </c>
      <c r="E97" s="457">
        <v>3.976</v>
      </c>
      <c r="F97" s="457">
        <v>0</v>
      </c>
      <c r="G97" s="456">
        <f>E97*F97</f>
        <v>0</v>
      </c>
      <c r="H97" s="455">
        <v>0</v>
      </c>
      <c r="I97" s="454">
        <f>E97*H97</f>
        <v>0</v>
      </c>
      <c r="J97" s="455">
        <v>0</v>
      </c>
      <c r="K97" s="454">
        <f>E97*J97</f>
        <v>0</v>
      </c>
      <c r="O97" s="444">
        <v>2</v>
      </c>
      <c r="AA97" s="434">
        <v>1</v>
      </c>
      <c r="AB97" s="434">
        <v>0</v>
      </c>
      <c r="AC97" s="434">
        <v>0</v>
      </c>
      <c r="AZ97" s="434">
        <v>1</v>
      </c>
      <c r="BA97" s="434">
        <f>IF(AZ97=1,G97,0)</f>
        <v>0</v>
      </c>
      <c r="BB97" s="434">
        <f>IF(AZ97=2,G97,0)</f>
        <v>0</v>
      </c>
      <c r="BC97" s="434">
        <f>IF(AZ97=3,G97,0)</f>
        <v>0</v>
      </c>
      <c r="BD97" s="434">
        <f>IF(AZ97=4,G97,0)</f>
        <v>0</v>
      </c>
      <c r="BE97" s="434">
        <f>IF(AZ97=5,G97,0)</f>
        <v>0</v>
      </c>
      <c r="CA97" s="444">
        <v>1</v>
      </c>
      <c r="CB97" s="444">
        <v>0</v>
      </c>
    </row>
    <row r="98" spans="1:15" ht="12.75">
      <c r="A98" s="478"/>
      <c r="B98" s="477"/>
      <c r="C98" s="1621" t="s">
        <v>2259</v>
      </c>
      <c r="D98" s="1589"/>
      <c r="E98" s="476">
        <v>2.176</v>
      </c>
      <c r="F98" s="475"/>
      <c r="G98" s="230"/>
      <c r="H98" s="474"/>
      <c r="I98" s="473"/>
      <c r="J98" s="436"/>
      <c r="K98" s="473"/>
      <c r="M98" s="472" t="s">
        <v>2259</v>
      </c>
      <c r="O98" s="444"/>
    </row>
    <row r="99" spans="1:15" ht="12.75">
      <c r="A99" s="478"/>
      <c r="B99" s="477"/>
      <c r="C99" s="1621" t="s">
        <v>2321</v>
      </c>
      <c r="D99" s="1589"/>
      <c r="E99" s="476">
        <v>1.8</v>
      </c>
      <c r="F99" s="475"/>
      <c r="G99" s="230"/>
      <c r="H99" s="474"/>
      <c r="I99" s="473"/>
      <c r="J99" s="436"/>
      <c r="K99" s="473"/>
      <c r="M99" s="472" t="s">
        <v>2321</v>
      </c>
      <c r="O99" s="444"/>
    </row>
    <row r="100" spans="1:80" ht="12.75">
      <c r="A100" s="461">
        <v>41</v>
      </c>
      <c r="B100" s="460" t="s">
        <v>2325</v>
      </c>
      <c r="C100" s="459" t="s">
        <v>2326</v>
      </c>
      <c r="D100" s="458" t="s">
        <v>154</v>
      </c>
      <c r="E100" s="457">
        <v>1.3056</v>
      </c>
      <c r="F100" s="457">
        <v>0</v>
      </c>
      <c r="G100" s="456">
        <f>E100*F100</f>
        <v>0</v>
      </c>
      <c r="H100" s="455">
        <v>0</v>
      </c>
      <c r="I100" s="454">
        <f>E100*H100</f>
        <v>0</v>
      </c>
      <c r="J100" s="455">
        <v>0</v>
      </c>
      <c r="K100" s="454">
        <f>E100*J100</f>
        <v>0</v>
      </c>
      <c r="O100" s="444">
        <v>2</v>
      </c>
      <c r="AA100" s="434">
        <v>1</v>
      </c>
      <c r="AB100" s="434">
        <v>1</v>
      </c>
      <c r="AC100" s="434">
        <v>1</v>
      </c>
      <c r="AZ100" s="434">
        <v>1</v>
      </c>
      <c r="BA100" s="434">
        <f>IF(AZ100=1,G100,0)</f>
        <v>0</v>
      </c>
      <c r="BB100" s="434">
        <f>IF(AZ100=2,G100,0)</f>
        <v>0</v>
      </c>
      <c r="BC100" s="434">
        <f>IF(AZ100=3,G100,0)</f>
        <v>0</v>
      </c>
      <c r="BD100" s="434">
        <f>IF(AZ100=4,G100,0)</f>
        <v>0</v>
      </c>
      <c r="BE100" s="434">
        <f>IF(AZ100=5,G100,0)</f>
        <v>0</v>
      </c>
      <c r="CA100" s="444">
        <v>1</v>
      </c>
      <c r="CB100" s="444">
        <v>1</v>
      </c>
    </row>
    <row r="101" spans="1:15" ht="12.75">
      <c r="A101" s="478"/>
      <c r="B101" s="477"/>
      <c r="C101" s="1621" t="s">
        <v>566</v>
      </c>
      <c r="D101" s="1589"/>
      <c r="E101" s="476">
        <v>0</v>
      </c>
      <c r="F101" s="475"/>
      <c r="G101" s="230"/>
      <c r="H101" s="474"/>
      <c r="I101" s="473"/>
      <c r="J101" s="436"/>
      <c r="K101" s="473"/>
      <c r="M101" s="472" t="s">
        <v>566</v>
      </c>
      <c r="O101" s="444"/>
    </row>
    <row r="102" spans="1:15" ht="12.75">
      <c r="A102" s="478"/>
      <c r="B102" s="477"/>
      <c r="C102" s="1621" t="s">
        <v>2317</v>
      </c>
      <c r="D102" s="1589"/>
      <c r="E102" s="476">
        <v>0.6528</v>
      </c>
      <c r="F102" s="475"/>
      <c r="G102" s="230"/>
      <c r="H102" s="474"/>
      <c r="I102" s="473"/>
      <c r="J102" s="436"/>
      <c r="K102" s="473"/>
      <c r="M102" s="472" t="s">
        <v>2317</v>
      </c>
      <c r="O102" s="444"/>
    </row>
    <row r="103" spans="1:15" ht="12.75">
      <c r="A103" s="478"/>
      <c r="B103" s="477"/>
      <c r="C103" s="1621" t="s">
        <v>2318</v>
      </c>
      <c r="D103" s="1589"/>
      <c r="E103" s="476">
        <v>0.6528</v>
      </c>
      <c r="F103" s="475"/>
      <c r="G103" s="230"/>
      <c r="H103" s="474"/>
      <c r="I103" s="473"/>
      <c r="J103" s="436"/>
      <c r="K103" s="473"/>
      <c r="M103" s="472" t="s">
        <v>2318</v>
      </c>
      <c r="O103" s="444"/>
    </row>
    <row r="104" spans="1:57" ht="12.75">
      <c r="A104" s="453"/>
      <c r="B104" s="452" t="s">
        <v>175</v>
      </c>
      <c r="C104" s="451" t="s">
        <v>646</v>
      </c>
      <c r="D104" s="450"/>
      <c r="E104" s="449"/>
      <c r="F104" s="448"/>
      <c r="G104" s="447">
        <f>SUM(G86:G103)</f>
        <v>0</v>
      </c>
      <c r="H104" s="446"/>
      <c r="I104" s="445">
        <f>SUM(I86:I103)</f>
        <v>7.8776399999999995</v>
      </c>
      <c r="J104" s="446"/>
      <c r="K104" s="445">
        <f>SUM(K86:K103)</f>
        <v>0</v>
      </c>
      <c r="O104" s="444">
        <v>4</v>
      </c>
      <c r="BA104" s="443">
        <f>SUM(BA86:BA103)</f>
        <v>0</v>
      </c>
      <c r="BB104" s="443">
        <f>SUM(BB86:BB103)</f>
        <v>0</v>
      </c>
      <c r="BC104" s="443">
        <f>SUM(BC86:BC103)</f>
        <v>0</v>
      </c>
      <c r="BD104" s="443">
        <f>SUM(BD86:BD103)</f>
        <v>0</v>
      </c>
      <c r="BE104" s="443">
        <f>SUM(BE86:BE103)</f>
        <v>0</v>
      </c>
    </row>
    <row r="105" spans="1:15" ht="12.75">
      <c r="A105" s="471" t="s">
        <v>140</v>
      </c>
      <c r="B105" s="470" t="s">
        <v>348</v>
      </c>
      <c r="C105" s="469" t="s">
        <v>347</v>
      </c>
      <c r="D105" s="468"/>
      <c r="E105" s="467"/>
      <c r="F105" s="467"/>
      <c r="G105" s="466"/>
      <c r="H105" s="465"/>
      <c r="I105" s="464"/>
      <c r="J105" s="463"/>
      <c r="K105" s="462"/>
      <c r="O105" s="444">
        <v>1</v>
      </c>
    </row>
    <row r="106" spans="1:80" ht="20.4">
      <c r="A106" s="461">
        <v>42</v>
      </c>
      <c r="B106" s="460" t="s">
        <v>2327</v>
      </c>
      <c r="C106" s="459" t="s">
        <v>2328</v>
      </c>
      <c r="D106" s="458" t="s">
        <v>231</v>
      </c>
      <c r="E106" s="457">
        <v>5</v>
      </c>
      <c r="F106" s="457">
        <v>0</v>
      </c>
      <c r="G106" s="456">
        <f>E106*F106</f>
        <v>0</v>
      </c>
      <c r="H106" s="455">
        <v>0.19021</v>
      </c>
      <c r="I106" s="454">
        <f>E106*H106</f>
        <v>0.95105</v>
      </c>
      <c r="J106" s="455">
        <v>0</v>
      </c>
      <c r="K106" s="454">
        <f>E106*J106</f>
        <v>0</v>
      </c>
      <c r="O106" s="444">
        <v>2</v>
      </c>
      <c r="AA106" s="434">
        <v>1</v>
      </c>
      <c r="AB106" s="434">
        <v>1</v>
      </c>
      <c r="AC106" s="434">
        <v>1</v>
      </c>
      <c r="AZ106" s="434">
        <v>1</v>
      </c>
      <c r="BA106" s="434">
        <f>IF(AZ106=1,G106,0)</f>
        <v>0</v>
      </c>
      <c r="BB106" s="434">
        <f>IF(AZ106=2,G106,0)</f>
        <v>0</v>
      </c>
      <c r="BC106" s="434">
        <f>IF(AZ106=3,G106,0)</f>
        <v>0</v>
      </c>
      <c r="BD106" s="434">
        <f>IF(AZ106=4,G106,0)</f>
        <v>0</v>
      </c>
      <c r="BE106" s="434">
        <f>IF(AZ106=5,G106,0)</f>
        <v>0</v>
      </c>
      <c r="CA106" s="444">
        <v>1</v>
      </c>
      <c r="CB106" s="444">
        <v>1</v>
      </c>
    </row>
    <row r="107" spans="1:15" ht="12.75">
      <c r="A107" s="478"/>
      <c r="B107" s="477"/>
      <c r="C107" s="1621" t="s">
        <v>2329</v>
      </c>
      <c r="D107" s="1589"/>
      <c r="E107" s="476">
        <v>5</v>
      </c>
      <c r="F107" s="475"/>
      <c r="G107" s="230"/>
      <c r="H107" s="474"/>
      <c r="I107" s="473"/>
      <c r="J107" s="436"/>
      <c r="K107" s="473"/>
      <c r="M107" s="472" t="s">
        <v>2329</v>
      </c>
      <c r="O107" s="444"/>
    </row>
    <row r="108" spans="1:57" ht="12.75">
      <c r="A108" s="453"/>
      <c r="B108" s="452" t="s">
        <v>175</v>
      </c>
      <c r="C108" s="451" t="s">
        <v>338</v>
      </c>
      <c r="D108" s="450"/>
      <c r="E108" s="449"/>
      <c r="F108" s="448"/>
      <c r="G108" s="447">
        <f>SUM(G105:G107)</f>
        <v>0</v>
      </c>
      <c r="H108" s="446"/>
      <c r="I108" s="445">
        <f>SUM(I105:I107)</f>
        <v>0.95105</v>
      </c>
      <c r="J108" s="446"/>
      <c r="K108" s="445">
        <f>SUM(K105:K107)</f>
        <v>0</v>
      </c>
      <c r="O108" s="444">
        <v>4</v>
      </c>
      <c r="BA108" s="443">
        <f>SUM(BA105:BA107)</f>
        <v>0</v>
      </c>
      <c r="BB108" s="443">
        <f>SUM(BB105:BB107)</f>
        <v>0</v>
      </c>
      <c r="BC108" s="443">
        <f>SUM(BC105:BC107)</f>
        <v>0</v>
      </c>
      <c r="BD108" s="443">
        <f>SUM(BD105:BD107)</f>
        <v>0</v>
      </c>
      <c r="BE108" s="443">
        <f>SUM(BE105:BE107)</f>
        <v>0</v>
      </c>
    </row>
    <row r="109" spans="1:15" ht="12.75">
      <c r="A109" s="471" t="s">
        <v>140</v>
      </c>
      <c r="B109" s="470" t="s">
        <v>234</v>
      </c>
      <c r="C109" s="469" t="s">
        <v>235</v>
      </c>
      <c r="D109" s="468"/>
      <c r="E109" s="467"/>
      <c r="F109" s="467"/>
      <c r="G109" s="466"/>
      <c r="H109" s="465"/>
      <c r="I109" s="464"/>
      <c r="J109" s="463"/>
      <c r="K109" s="462"/>
      <c r="O109" s="444">
        <v>1</v>
      </c>
    </row>
    <row r="110" spans="1:80" ht="12.75">
      <c r="A110" s="461">
        <v>43</v>
      </c>
      <c r="B110" s="460" t="s">
        <v>2122</v>
      </c>
      <c r="C110" s="459" t="s">
        <v>2123</v>
      </c>
      <c r="D110" s="458" t="s">
        <v>166</v>
      </c>
      <c r="E110" s="457">
        <v>94.403424416</v>
      </c>
      <c r="F110" s="457">
        <v>0</v>
      </c>
      <c r="G110" s="456">
        <f>E110*F110</f>
        <v>0</v>
      </c>
      <c r="H110" s="455">
        <v>0</v>
      </c>
      <c r="I110" s="454">
        <f>E110*H110</f>
        <v>0</v>
      </c>
      <c r="J110" s="455"/>
      <c r="K110" s="454">
        <f>E110*J110</f>
        <v>0</v>
      </c>
      <c r="O110" s="444">
        <v>2</v>
      </c>
      <c r="AA110" s="434">
        <v>7</v>
      </c>
      <c r="AB110" s="434">
        <v>1</v>
      </c>
      <c r="AC110" s="434">
        <v>2</v>
      </c>
      <c r="AZ110" s="434">
        <v>1</v>
      </c>
      <c r="BA110" s="434">
        <f>IF(AZ110=1,G110,0)</f>
        <v>0</v>
      </c>
      <c r="BB110" s="434">
        <f>IF(AZ110=2,G110,0)</f>
        <v>0</v>
      </c>
      <c r="BC110" s="434">
        <f>IF(AZ110=3,G110,0)</f>
        <v>0</v>
      </c>
      <c r="BD110" s="434">
        <f>IF(AZ110=4,G110,0)</f>
        <v>0</v>
      </c>
      <c r="BE110" s="434">
        <f>IF(AZ110=5,G110,0)</f>
        <v>0</v>
      </c>
      <c r="CA110" s="444">
        <v>7</v>
      </c>
      <c r="CB110" s="444">
        <v>1</v>
      </c>
    </row>
    <row r="111" spans="1:57" ht="12.75">
      <c r="A111" s="453"/>
      <c r="B111" s="452" t="s">
        <v>175</v>
      </c>
      <c r="C111" s="451" t="s">
        <v>238</v>
      </c>
      <c r="D111" s="450"/>
      <c r="E111" s="449"/>
      <c r="F111" s="448"/>
      <c r="G111" s="447">
        <f>SUM(G109:G110)</f>
        <v>0</v>
      </c>
      <c r="H111" s="446"/>
      <c r="I111" s="445">
        <f>SUM(I109:I110)</f>
        <v>0</v>
      </c>
      <c r="J111" s="446"/>
      <c r="K111" s="445">
        <f>SUM(K109:K110)</f>
        <v>0</v>
      </c>
      <c r="O111" s="444">
        <v>4</v>
      </c>
      <c r="BA111" s="443">
        <f>SUM(BA109:BA110)</f>
        <v>0</v>
      </c>
      <c r="BB111" s="443">
        <f>SUM(BB109:BB110)</f>
        <v>0</v>
      </c>
      <c r="BC111" s="443">
        <f>SUM(BC109:BC110)</f>
        <v>0</v>
      </c>
      <c r="BD111" s="443">
        <f>SUM(BD109:BD110)</f>
        <v>0</v>
      </c>
      <c r="BE111" s="443">
        <f>SUM(BE109:BE110)</f>
        <v>0</v>
      </c>
    </row>
    <row r="112" spans="1:15" ht="12.75">
      <c r="A112" s="471" t="s">
        <v>140</v>
      </c>
      <c r="B112" s="470" t="s">
        <v>667</v>
      </c>
      <c r="C112" s="469" t="s">
        <v>668</v>
      </c>
      <c r="D112" s="468"/>
      <c r="E112" s="467"/>
      <c r="F112" s="467"/>
      <c r="G112" s="466"/>
      <c r="H112" s="465"/>
      <c r="I112" s="464"/>
      <c r="J112" s="463"/>
      <c r="K112" s="462"/>
      <c r="O112" s="444">
        <v>1</v>
      </c>
    </row>
    <row r="113" spans="1:80" ht="20.4">
      <c r="A113" s="461">
        <v>44</v>
      </c>
      <c r="B113" s="460" t="s">
        <v>669</v>
      </c>
      <c r="C113" s="459" t="s">
        <v>670</v>
      </c>
      <c r="D113" s="458" t="s">
        <v>145</v>
      </c>
      <c r="E113" s="457">
        <v>51.68</v>
      </c>
      <c r="F113" s="457">
        <v>0</v>
      </c>
      <c r="G113" s="456">
        <f>E113*F113</f>
        <v>0</v>
      </c>
      <c r="H113" s="455">
        <v>0.0004</v>
      </c>
      <c r="I113" s="454">
        <f>E113*H113</f>
        <v>0.020672</v>
      </c>
      <c r="J113" s="455">
        <v>0</v>
      </c>
      <c r="K113" s="454">
        <f>E113*J113</f>
        <v>0</v>
      </c>
      <c r="O113" s="444">
        <v>2</v>
      </c>
      <c r="AA113" s="434">
        <v>1</v>
      </c>
      <c r="AB113" s="434">
        <v>7</v>
      </c>
      <c r="AC113" s="434">
        <v>7</v>
      </c>
      <c r="AZ113" s="434">
        <v>2</v>
      </c>
      <c r="BA113" s="434">
        <f>IF(AZ113=1,G113,0)</f>
        <v>0</v>
      </c>
      <c r="BB113" s="434">
        <f>IF(AZ113=2,G113,0)</f>
        <v>0</v>
      </c>
      <c r="BC113" s="434">
        <f>IF(AZ113=3,G113,0)</f>
        <v>0</v>
      </c>
      <c r="BD113" s="434">
        <f>IF(AZ113=4,G113,0)</f>
        <v>0</v>
      </c>
      <c r="BE113" s="434">
        <f>IF(AZ113=5,G113,0)</f>
        <v>0</v>
      </c>
      <c r="CA113" s="444">
        <v>1</v>
      </c>
      <c r="CB113" s="444">
        <v>7</v>
      </c>
    </row>
    <row r="114" spans="1:15" ht="12.75">
      <c r="A114" s="478"/>
      <c r="B114" s="477"/>
      <c r="C114" s="1621" t="s">
        <v>2330</v>
      </c>
      <c r="D114" s="1589"/>
      <c r="E114" s="476">
        <v>25.84</v>
      </c>
      <c r="F114" s="475"/>
      <c r="G114" s="230"/>
      <c r="H114" s="474"/>
      <c r="I114" s="473"/>
      <c r="J114" s="436"/>
      <c r="K114" s="473"/>
      <c r="M114" s="472" t="s">
        <v>2330</v>
      </c>
      <c r="O114" s="444"/>
    </row>
    <row r="115" spans="1:15" ht="12.75">
      <c r="A115" s="478"/>
      <c r="B115" s="477"/>
      <c r="C115" s="1621" t="s">
        <v>2331</v>
      </c>
      <c r="D115" s="1589"/>
      <c r="E115" s="476">
        <v>25.84</v>
      </c>
      <c r="F115" s="475"/>
      <c r="G115" s="230"/>
      <c r="H115" s="474"/>
      <c r="I115" s="473"/>
      <c r="J115" s="436"/>
      <c r="K115" s="473"/>
      <c r="M115" s="472" t="s">
        <v>2331</v>
      </c>
      <c r="O115" s="444"/>
    </row>
    <row r="116" spans="1:80" ht="20.4">
      <c r="A116" s="461">
        <v>45</v>
      </c>
      <c r="B116" s="460" t="s">
        <v>673</v>
      </c>
      <c r="C116" s="459" t="s">
        <v>674</v>
      </c>
      <c r="D116" s="458" t="s">
        <v>145</v>
      </c>
      <c r="E116" s="457">
        <v>47</v>
      </c>
      <c r="F116" s="457">
        <v>0</v>
      </c>
      <c r="G116" s="456">
        <f>E116*F116</f>
        <v>0</v>
      </c>
      <c r="H116" s="455">
        <v>0.00067</v>
      </c>
      <c r="I116" s="454">
        <f>E116*H116</f>
        <v>0.031490000000000004</v>
      </c>
      <c r="J116" s="455">
        <v>0</v>
      </c>
      <c r="K116" s="454">
        <f>E116*J116</f>
        <v>0</v>
      </c>
      <c r="O116" s="444">
        <v>2</v>
      </c>
      <c r="AA116" s="434">
        <v>1</v>
      </c>
      <c r="AB116" s="434">
        <v>7</v>
      </c>
      <c r="AC116" s="434">
        <v>7</v>
      </c>
      <c r="AZ116" s="434">
        <v>2</v>
      </c>
      <c r="BA116" s="434">
        <f>IF(AZ116=1,G116,0)</f>
        <v>0</v>
      </c>
      <c r="BB116" s="434">
        <f>IF(AZ116=2,G116,0)</f>
        <v>0</v>
      </c>
      <c r="BC116" s="434">
        <f>IF(AZ116=3,G116,0)</f>
        <v>0</v>
      </c>
      <c r="BD116" s="434">
        <f>IF(AZ116=4,G116,0)</f>
        <v>0</v>
      </c>
      <c r="BE116" s="434">
        <f>IF(AZ116=5,G116,0)</f>
        <v>0</v>
      </c>
      <c r="CA116" s="444">
        <v>1</v>
      </c>
      <c r="CB116" s="444">
        <v>7</v>
      </c>
    </row>
    <row r="117" spans="1:15" ht="12.75">
      <c r="A117" s="478"/>
      <c r="B117" s="477"/>
      <c r="C117" s="1621" t="s">
        <v>2257</v>
      </c>
      <c r="D117" s="1589"/>
      <c r="E117" s="476">
        <v>47</v>
      </c>
      <c r="F117" s="475"/>
      <c r="G117" s="230"/>
      <c r="H117" s="474"/>
      <c r="I117" s="473"/>
      <c r="J117" s="436"/>
      <c r="K117" s="473"/>
      <c r="M117" s="472" t="s">
        <v>2257</v>
      </c>
      <c r="O117" s="444"/>
    </row>
    <row r="118" spans="1:80" ht="20.4">
      <c r="A118" s="461">
        <v>46</v>
      </c>
      <c r="B118" s="460" t="s">
        <v>2332</v>
      </c>
      <c r="C118" s="459" t="s">
        <v>2333</v>
      </c>
      <c r="D118" s="458" t="s">
        <v>145</v>
      </c>
      <c r="E118" s="457">
        <v>23.04</v>
      </c>
      <c r="F118" s="457">
        <v>0</v>
      </c>
      <c r="G118" s="456">
        <f>E118*F118</f>
        <v>0</v>
      </c>
      <c r="H118" s="455">
        <v>0</v>
      </c>
      <c r="I118" s="454">
        <f>E118*H118</f>
        <v>0</v>
      </c>
      <c r="J118" s="455">
        <v>0</v>
      </c>
      <c r="K118" s="454">
        <f>E118*J118</f>
        <v>0</v>
      </c>
      <c r="O118" s="444">
        <v>2</v>
      </c>
      <c r="AA118" s="434">
        <v>1</v>
      </c>
      <c r="AB118" s="434">
        <v>7</v>
      </c>
      <c r="AC118" s="434">
        <v>7</v>
      </c>
      <c r="AZ118" s="434">
        <v>2</v>
      </c>
      <c r="BA118" s="434">
        <f>IF(AZ118=1,G118,0)</f>
        <v>0</v>
      </c>
      <c r="BB118" s="434">
        <f>IF(AZ118=2,G118,0)</f>
        <v>0</v>
      </c>
      <c r="BC118" s="434">
        <f>IF(AZ118=3,G118,0)</f>
        <v>0</v>
      </c>
      <c r="BD118" s="434">
        <f>IF(AZ118=4,G118,0)</f>
        <v>0</v>
      </c>
      <c r="BE118" s="434">
        <f>IF(AZ118=5,G118,0)</f>
        <v>0</v>
      </c>
      <c r="CA118" s="444">
        <v>1</v>
      </c>
      <c r="CB118" s="444">
        <v>7</v>
      </c>
    </row>
    <row r="119" spans="1:15" ht="12.75">
      <c r="A119" s="478"/>
      <c r="B119" s="477"/>
      <c r="C119" s="1621" t="s">
        <v>2334</v>
      </c>
      <c r="D119" s="1589"/>
      <c r="E119" s="476">
        <v>23.04</v>
      </c>
      <c r="F119" s="475"/>
      <c r="G119" s="230"/>
      <c r="H119" s="474"/>
      <c r="I119" s="473"/>
      <c r="J119" s="436"/>
      <c r="K119" s="473"/>
      <c r="M119" s="472" t="s">
        <v>2334</v>
      </c>
      <c r="O119" s="444"/>
    </row>
    <row r="120" spans="1:80" ht="20.4">
      <c r="A120" s="461">
        <v>47</v>
      </c>
      <c r="B120" s="460" t="s">
        <v>677</v>
      </c>
      <c r="C120" s="459" t="s">
        <v>678</v>
      </c>
      <c r="D120" s="458" t="s">
        <v>145</v>
      </c>
      <c r="E120" s="457">
        <v>25.84</v>
      </c>
      <c r="F120" s="457">
        <v>0</v>
      </c>
      <c r="G120" s="456">
        <f>E120*F120</f>
        <v>0</v>
      </c>
      <c r="H120" s="455">
        <v>0.0057</v>
      </c>
      <c r="I120" s="454">
        <f>E120*H120</f>
        <v>0.147288</v>
      </c>
      <c r="J120" s="455">
        <v>0</v>
      </c>
      <c r="K120" s="454">
        <f>E120*J120</f>
        <v>0</v>
      </c>
      <c r="O120" s="444">
        <v>2</v>
      </c>
      <c r="AA120" s="434">
        <v>1</v>
      </c>
      <c r="AB120" s="434">
        <v>7</v>
      </c>
      <c r="AC120" s="434">
        <v>7</v>
      </c>
      <c r="AZ120" s="434">
        <v>2</v>
      </c>
      <c r="BA120" s="434">
        <f>IF(AZ120=1,G120,0)</f>
        <v>0</v>
      </c>
      <c r="BB120" s="434">
        <f>IF(AZ120=2,G120,0)</f>
        <v>0</v>
      </c>
      <c r="BC120" s="434">
        <f>IF(AZ120=3,G120,0)</f>
        <v>0</v>
      </c>
      <c r="BD120" s="434">
        <f>IF(AZ120=4,G120,0)</f>
        <v>0</v>
      </c>
      <c r="BE120" s="434">
        <f>IF(AZ120=5,G120,0)</f>
        <v>0</v>
      </c>
      <c r="CA120" s="444">
        <v>1</v>
      </c>
      <c r="CB120" s="444">
        <v>7</v>
      </c>
    </row>
    <row r="121" spans="1:15" ht="12.75">
      <c r="A121" s="478"/>
      <c r="B121" s="477"/>
      <c r="C121" s="1621" t="s">
        <v>2330</v>
      </c>
      <c r="D121" s="1589"/>
      <c r="E121" s="476">
        <v>25.84</v>
      </c>
      <c r="F121" s="475"/>
      <c r="G121" s="230"/>
      <c r="H121" s="474"/>
      <c r="I121" s="473"/>
      <c r="J121" s="436"/>
      <c r="K121" s="473"/>
      <c r="M121" s="472" t="s">
        <v>2330</v>
      </c>
      <c r="O121" s="444"/>
    </row>
    <row r="122" spans="1:80" ht="20.4">
      <c r="A122" s="461">
        <v>48</v>
      </c>
      <c r="B122" s="460" t="s">
        <v>2335</v>
      </c>
      <c r="C122" s="459" t="s">
        <v>2336</v>
      </c>
      <c r="D122" s="458" t="s">
        <v>145</v>
      </c>
      <c r="E122" s="457">
        <v>21.76</v>
      </c>
      <c r="F122" s="457">
        <v>0</v>
      </c>
      <c r="G122" s="456">
        <f>E122*F122</f>
        <v>0</v>
      </c>
      <c r="H122" s="455">
        <v>0.01117</v>
      </c>
      <c r="I122" s="454">
        <f>E122*H122</f>
        <v>0.2430592</v>
      </c>
      <c r="J122" s="455">
        <v>0</v>
      </c>
      <c r="K122" s="454">
        <f>E122*J122</f>
        <v>0</v>
      </c>
      <c r="O122" s="444">
        <v>2</v>
      </c>
      <c r="AA122" s="434">
        <v>1</v>
      </c>
      <c r="AB122" s="434">
        <v>7</v>
      </c>
      <c r="AC122" s="434">
        <v>7</v>
      </c>
      <c r="AZ122" s="434">
        <v>2</v>
      </c>
      <c r="BA122" s="434">
        <f>IF(AZ122=1,G122,0)</f>
        <v>0</v>
      </c>
      <c r="BB122" s="434">
        <f>IF(AZ122=2,G122,0)</f>
        <v>0</v>
      </c>
      <c r="BC122" s="434">
        <f>IF(AZ122=3,G122,0)</f>
        <v>0</v>
      </c>
      <c r="BD122" s="434">
        <f>IF(AZ122=4,G122,0)</f>
        <v>0</v>
      </c>
      <c r="BE122" s="434">
        <f>IF(AZ122=5,G122,0)</f>
        <v>0</v>
      </c>
      <c r="CA122" s="444">
        <v>1</v>
      </c>
      <c r="CB122" s="444">
        <v>7</v>
      </c>
    </row>
    <row r="123" spans="1:15" ht="12.75">
      <c r="A123" s="478"/>
      <c r="B123" s="477"/>
      <c r="C123" s="1621" t="s">
        <v>2337</v>
      </c>
      <c r="D123" s="1589"/>
      <c r="E123" s="476">
        <v>21.76</v>
      </c>
      <c r="F123" s="475"/>
      <c r="G123" s="230"/>
      <c r="H123" s="474"/>
      <c r="I123" s="473"/>
      <c r="J123" s="436"/>
      <c r="K123" s="473"/>
      <c r="M123" s="472" t="s">
        <v>2337</v>
      </c>
      <c r="O123" s="444"/>
    </row>
    <row r="124" spans="1:80" ht="20.4">
      <c r="A124" s="461">
        <v>49</v>
      </c>
      <c r="B124" s="460" t="s">
        <v>679</v>
      </c>
      <c r="C124" s="459" t="s">
        <v>680</v>
      </c>
      <c r="D124" s="458" t="s">
        <v>145</v>
      </c>
      <c r="E124" s="457">
        <v>47</v>
      </c>
      <c r="F124" s="457">
        <v>0</v>
      </c>
      <c r="G124" s="456">
        <f>E124*F124</f>
        <v>0</v>
      </c>
      <c r="H124" s="455">
        <v>0.0061</v>
      </c>
      <c r="I124" s="454">
        <f>E124*H124</f>
        <v>0.2867</v>
      </c>
      <c r="J124" s="455">
        <v>0</v>
      </c>
      <c r="K124" s="454">
        <f>E124*J124</f>
        <v>0</v>
      </c>
      <c r="O124" s="444">
        <v>2</v>
      </c>
      <c r="AA124" s="434">
        <v>1</v>
      </c>
      <c r="AB124" s="434">
        <v>7</v>
      </c>
      <c r="AC124" s="434">
        <v>7</v>
      </c>
      <c r="AZ124" s="434">
        <v>2</v>
      </c>
      <c r="BA124" s="434">
        <f>IF(AZ124=1,G124,0)</f>
        <v>0</v>
      </c>
      <c r="BB124" s="434">
        <f>IF(AZ124=2,G124,0)</f>
        <v>0</v>
      </c>
      <c r="BC124" s="434">
        <f>IF(AZ124=3,G124,0)</f>
        <v>0</v>
      </c>
      <c r="BD124" s="434">
        <f>IF(AZ124=4,G124,0)</f>
        <v>0</v>
      </c>
      <c r="BE124" s="434">
        <f>IF(AZ124=5,G124,0)</f>
        <v>0</v>
      </c>
      <c r="CA124" s="444">
        <v>1</v>
      </c>
      <c r="CB124" s="444">
        <v>7</v>
      </c>
    </row>
    <row r="125" spans="1:15" ht="12.75">
      <c r="A125" s="478"/>
      <c r="B125" s="477"/>
      <c r="C125" s="1621" t="s">
        <v>2257</v>
      </c>
      <c r="D125" s="1589"/>
      <c r="E125" s="476">
        <v>47</v>
      </c>
      <c r="F125" s="475"/>
      <c r="G125" s="230"/>
      <c r="H125" s="474"/>
      <c r="I125" s="473"/>
      <c r="J125" s="436"/>
      <c r="K125" s="473"/>
      <c r="M125" s="472" t="s">
        <v>2257</v>
      </c>
      <c r="O125" s="444"/>
    </row>
    <row r="126" spans="1:80" ht="12.75">
      <c r="A126" s="461">
        <v>50</v>
      </c>
      <c r="B126" s="460" t="s">
        <v>2126</v>
      </c>
      <c r="C126" s="459" t="s">
        <v>2127</v>
      </c>
      <c r="D126" s="458" t="s">
        <v>196</v>
      </c>
      <c r="E126" s="457">
        <v>6</v>
      </c>
      <c r="F126" s="457">
        <v>0</v>
      </c>
      <c r="G126" s="456">
        <f>E126*F126</f>
        <v>0</v>
      </c>
      <c r="H126" s="455">
        <v>7E-05</v>
      </c>
      <c r="I126" s="454">
        <f>E126*H126</f>
        <v>0.00041999999999999996</v>
      </c>
      <c r="J126" s="455">
        <v>0</v>
      </c>
      <c r="K126" s="454">
        <f>E126*J126</f>
        <v>0</v>
      </c>
      <c r="O126" s="444">
        <v>2</v>
      </c>
      <c r="AA126" s="434">
        <v>1</v>
      </c>
      <c r="AB126" s="434">
        <v>7</v>
      </c>
      <c r="AC126" s="434">
        <v>7</v>
      </c>
      <c r="AZ126" s="434">
        <v>2</v>
      </c>
      <c r="BA126" s="434">
        <f>IF(AZ126=1,G126,0)</f>
        <v>0</v>
      </c>
      <c r="BB126" s="434">
        <f>IF(AZ126=2,G126,0)</f>
        <v>0</v>
      </c>
      <c r="BC126" s="434">
        <f>IF(AZ126=3,G126,0)</f>
        <v>0</v>
      </c>
      <c r="BD126" s="434">
        <f>IF(AZ126=4,G126,0)</f>
        <v>0</v>
      </c>
      <c r="BE126" s="434">
        <f>IF(AZ126=5,G126,0)</f>
        <v>0</v>
      </c>
      <c r="CA126" s="444">
        <v>1</v>
      </c>
      <c r="CB126" s="444">
        <v>7</v>
      </c>
    </row>
    <row r="127" spans="1:80" ht="12.75">
      <c r="A127" s="461">
        <v>51</v>
      </c>
      <c r="B127" s="460" t="s">
        <v>2338</v>
      </c>
      <c r="C127" s="459" t="s">
        <v>2339</v>
      </c>
      <c r="D127" s="458" t="s">
        <v>145</v>
      </c>
      <c r="E127" s="457">
        <v>23.04</v>
      </c>
      <c r="F127" s="457">
        <v>0</v>
      </c>
      <c r="G127" s="456">
        <f>E127*F127</f>
        <v>0</v>
      </c>
      <c r="H127" s="455">
        <v>0.00284</v>
      </c>
      <c r="I127" s="454">
        <f>E127*H127</f>
        <v>0.0654336</v>
      </c>
      <c r="J127" s="455">
        <v>0</v>
      </c>
      <c r="K127" s="454">
        <f>E127*J127</f>
        <v>0</v>
      </c>
      <c r="O127" s="444">
        <v>2</v>
      </c>
      <c r="AA127" s="434">
        <v>1</v>
      </c>
      <c r="AB127" s="434">
        <v>7</v>
      </c>
      <c r="AC127" s="434">
        <v>7</v>
      </c>
      <c r="AZ127" s="434">
        <v>2</v>
      </c>
      <c r="BA127" s="434">
        <f>IF(AZ127=1,G127,0)</f>
        <v>0</v>
      </c>
      <c r="BB127" s="434">
        <f>IF(AZ127=2,G127,0)</f>
        <v>0</v>
      </c>
      <c r="BC127" s="434">
        <f>IF(AZ127=3,G127,0)</f>
        <v>0</v>
      </c>
      <c r="BD127" s="434">
        <f>IF(AZ127=4,G127,0)</f>
        <v>0</v>
      </c>
      <c r="BE127" s="434">
        <f>IF(AZ127=5,G127,0)</f>
        <v>0</v>
      </c>
      <c r="CA127" s="444">
        <v>1</v>
      </c>
      <c r="CB127" s="444">
        <v>7</v>
      </c>
    </row>
    <row r="128" spans="1:15" ht="12.75">
      <c r="A128" s="478"/>
      <c r="B128" s="477"/>
      <c r="C128" s="1621" t="s">
        <v>2334</v>
      </c>
      <c r="D128" s="1589"/>
      <c r="E128" s="476">
        <v>23.04</v>
      </c>
      <c r="F128" s="475"/>
      <c r="G128" s="230"/>
      <c r="H128" s="474"/>
      <c r="I128" s="473"/>
      <c r="J128" s="436"/>
      <c r="K128" s="473"/>
      <c r="M128" s="472" t="s">
        <v>2334</v>
      </c>
      <c r="O128" s="444"/>
    </row>
    <row r="129" spans="1:80" ht="12.75">
      <c r="A129" s="461">
        <v>52</v>
      </c>
      <c r="B129" s="460" t="s">
        <v>2129</v>
      </c>
      <c r="C129" s="459" t="s">
        <v>2130</v>
      </c>
      <c r="D129" s="458" t="s">
        <v>757</v>
      </c>
      <c r="E129" s="457">
        <v>6</v>
      </c>
      <c r="F129" s="457">
        <v>0</v>
      </c>
      <c r="G129" s="456">
        <f>E129*F129</f>
        <v>0</v>
      </c>
      <c r="H129" s="455">
        <v>0.001</v>
      </c>
      <c r="I129" s="454">
        <f>E129*H129</f>
        <v>0.006</v>
      </c>
      <c r="J129" s="455"/>
      <c r="K129" s="454">
        <f>E129*J129</f>
        <v>0</v>
      </c>
      <c r="O129" s="444">
        <v>2</v>
      </c>
      <c r="AA129" s="434">
        <v>3</v>
      </c>
      <c r="AB129" s="434">
        <v>7</v>
      </c>
      <c r="AC129" s="434">
        <v>2352022587</v>
      </c>
      <c r="AZ129" s="434">
        <v>2</v>
      </c>
      <c r="BA129" s="434">
        <f>IF(AZ129=1,G129,0)</f>
        <v>0</v>
      </c>
      <c r="BB129" s="434">
        <f>IF(AZ129=2,G129,0)</f>
        <v>0</v>
      </c>
      <c r="BC129" s="434">
        <f>IF(AZ129=3,G129,0)</f>
        <v>0</v>
      </c>
      <c r="BD129" s="434">
        <f>IF(AZ129=4,G129,0)</f>
        <v>0</v>
      </c>
      <c r="BE129" s="434">
        <f>IF(AZ129=5,G129,0)</f>
        <v>0</v>
      </c>
      <c r="CA129" s="444">
        <v>3</v>
      </c>
      <c r="CB129" s="444">
        <v>7</v>
      </c>
    </row>
    <row r="130" spans="1:80" ht="12.75">
      <c r="A130" s="461">
        <v>53</v>
      </c>
      <c r="B130" s="460" t="s">
        <v>2340</v>
      </c>
      <c r="C130" s="459" t="s">
        <v>2341</v>
      </c>
      <c r="D130" s="458" t="s">
        <v>145</v>
      </c>
      <c r="E130" s="457">
        <v>55.296</v>
      </c>
      <c r="F130" s="457">
        <v>0</v>
      </c>
      <c r="G130" s="456">
        <f>E130*F130</f>
        <v>0</v>
      </c>
      <c r="H130" s="455">
        <v>0</v>
      </c>
      <c r="I130" s="454">
        <f>E130*H130</f>
        <v>0</v>
      </c>
      <c r="J130" s="455"/>
      <c r="K130" s="454">
        <f>E130*J130</f>
        <v>0</v>
      </c>
      <c r="O130" s="444">
        <v>2</v>
      </c>
      <c r="AA130" s="434">
        <v>3</v>
      </c>
      <c r="AB130" s="434">
        <v>7</v>
      </c>
      <c r="AC130" s="434">
        <v>6281</v>
      </c>
      <c r="AZ130" s="434">
        <v>2</v>
      </c>
      <c r="BA130" s="434">
        <f>IF(AZ130=1,G130,0)</f>
        <v>0</v>
      </c>
      <c r="BB130" s="434">
        <f>IF(AZ130=2,G130,0)</f>
        <v>0</v>
      </c>
      <c r="BC130" s="434">
        <f>IF(AZ130=3,G130,0)</f>
        <v>0</v>
      </c>
      <c r="BD130" s="434">
        <f>IF(AZ130=4,G130,0)</f>
        <v>0</v>
      </c>
      <c r="BE130" s="434">
        <f>IF(AZ130=5,G130,0)</f>
        <v>0</v>
      </c>
      <c r="CA130" s="444">
        <v>3</v>
      </c>
      <c r="CB130" s="444">
        <v>7</v>
      </c>
    </row>
    <row r="131" spans="1:15" ht="12.75">
      <c r="A131" s="478"/>
      <c r="B131" s="477"/>
      <c r="C131" s="1621" t="s">
        <v>2342</v>
      </c>
      <c r="D131" s="1589"/>
      <c r="E131" s="476">
        <v>55.296</v>
      </c>
      <c r="F131" s="475"/>
      <c r="G131" s="230"/>
      <c r="H131" s="474"/>
      <c r="I131" s="473"/>
      <c r="J131" s="436"/>
      <c r="K131" s="473"/>
      <c r="M131" s="472" t="s">
        <v>2342</v>
      </c>
      <c r="O131" s="444"/>
    </row>
    <row r="132" spans="1:80" ht="12.75">
      <c r="A132" s="461">
        <v>54</v>
      </c>
      <c r="B132" s="460" t="s">
        <v>695</v>
      </c>
      <c r="C132" s="459" t="s">
        <v>696</v>
      </c>
      <c r="D132" s="458" t="s">
        <v>9</v>
      </c>
      <c r="E132" s="457"/>
      <c r="F132" s="457">
        <v>0</v>
      </c>
      <c r="G132" s="456">
        <f>E132*F132</f>
        <v>0</v>
      </c>
      <c r="H132" s="455">
        <v>0</v>
      </c>
      <c r="I132" s="454">
        <f>E132*H132</f>
        <v>0</v>
      </c>
      <c r="J132" s="455"/>
      <c r="K132" s="454">
        <f>E132*J132</f>
        <v>0</v>
      </c>
      <c r="O132" s="444">
        <v>2</v>
      </c>
      <c r="AA132" s="434">
        <v>7</v>
      </c>
      <c r="AB132" s="434">
        <v>1002</v>
      </c>
      <c r="AC132" s="434">
        <v>5</v>
      </c>
      <c r="AZ132" s="434">
        <v>2</v>
      </c>
      <c r="BA132" s="434">
        <f>IF(AZ132=1,G132,0)</f>
        <v>0</v>
      </c>
      <c r="BB132" s="434">
        <f>IF(AZ132=2,G132,0)</f>
        <v>0</v>
      </c>
      <c r="BC132" s="434">
        <f>IF(AZ132=3,G132,0)</f>
        <v>0</v>
      </c>
      <c r="BD132" s="434">
        <f>IF(AZ132=4,G132,0)</f>
        <v>0</v>
      </c>
      <c r="BE132" s="434">
        <f>IF(AZ132=5,G132,0)</f>
        <v>0</v>
      </c>
      <c r="CA132" s="444">
        <v>7</v>
      </c>
      <c r="CB132" s="444">
        <v>1002</v>
      </c>
    </row>
    <row r="133" spans="1:57" ht="12.75">
      <c r="A133" s="453"/>
      <c r="B133" s="452" t="s">
        <v>175</v>
      </c>
      <c r="C133" s="451" t="s">
        <v>697</v>
      </c>
      <c r="D133" s="450"/>
      <c r="E133" s="449"/>
      <c r="F133" s="448"/>
      <c r="G133" s="447">
        <f>SUM(G112:G132)</f>
        <v>0</v>
      </c>
      <c r="H133" s="446"/>
      <c r="I133" s="445">
        <f>SUM(I112:I132)</f>
        <v>0.8010628000000001</v>
      </c>
      <c r="J133" s="446"/>
      <c r="K133" s="445">
        <f>SUM(K112:K132)</f>
        <v>0</v>
      </c>
      <c r="O133" s="444">
        <v>4</v>
      </c>
      <c r="BA133" s="443">
        <f>SUM(BA112:BA132)</f>
        <v>0</v>
      </c>
      <c r="BB133" s="443">
        <f>SUM(BB112:BB132)</f>
        <v>0</v>
      </c>
      <c r="BC133" s="443">
        <f>SUM(BC112:BC132)</f>
        <v>0</v>
      </c>
      <c r="BD133" s="443">
        <f>SUM(BD112:BD132)</f>
        <v>0</v>
      </c>
      <c r="BE133" s="443">
        <f>SUM(BE112:BE132)</f>
        <v>0</v>
      </c>
    </row>
    <row r="134" spans="1:15" ht="12.75">
      <c r="A134" s="471" t="s">
        <v>140</v>
      </c>
      <c r="B134" s="470" t="s">
        <v>720</v>
      </c>
      <c r="C134" s="469" t="s">
        <v>2131</v>
      </c>
      <c r="D134" s="468"/>
      <c r="E134" s="467"/>
      <c r="F134" s="467"/>
      <c r="G134" s="466"/>
      <c r="H134" s="465"/>
      <c r="I134" s="464"/>
      <c r="J134" s="463"/>
      <c r="K134" s="462"/>
      <c r="O134" s="444">
        <v>1</v>
      </c>
    </row>
    <row r="135" spans="1:80" ht="12.75">
      <c r="A135" s="1551">
        <v>55</v>
      </c>
      <c r="B135" s="1552" t="s">
        <v>722</v>
      </c>
      <c r="C135" s="1553" t="s">
        <v>723</v>
      </c>
      <c r="D135" s="1554" t="s">
        <v>181</v>
      </c>
      <c r="E135" s="1555">
        <v>1</v>
      </c>
      <c r="F135" s="1555">
        <v>0</v>
      </c>
      <c r="G135" s="1556">
        <f>E135*F135</f>
        <v>0</v>
      </c>
      <c r="H135" s="1557">
        <v>0</v>
      </c>
      <c r="I135" s="1558">
        <f>E135*H135</f>
        <v>0</v>
      </c>
      <c r="J135" s="1557">
        <v>0</v>
      </c>
      <c r="K135" s="1558">
        <f>E135*J135</f>
        <v>0</v>
      </c>
      <c r="O135" s="444">
        <v>2</v>
      </c>
      <c r="AA135" s="434">
        <v>1</v>
      </c>
      <c r="AB135" s="434">
        <v>7</v>
      </c>
      <c r="AC135" s="434">
        <v>7</v>
      </c>
      <c r="AZ135" s="434">
        <v>2</v>
      </c>
      <c r="BA135" s="434">
        <f>IF(AZ135=1,G135,0)</f>
        <v>0</v>
      </c>
      <c r="BB135" s="434">
        <f>IF(AZ135=2,G135,0)</f>
        <v>0</v>
      </c>
      <c r="BC135" s="434">
        <f>IF(AZ135=3,G135,0)</f>
        <v>0</v>
      </c>
      <c r="BD135" s="434">
        <f>IF(AZ135=4,G135,0)</f>
        <v>0</v>
      </c>
      <c r="BE135" s="434">
        <f>IF(AZ135=5,G135,0)</f>
        <v>0</v>
      </c>
      <c r="CA135" s="444">
        <v>1</v>
      </c>
      <c r="CB135" s="444">
        <v>7</v>
      </c>
    </row>
    <row r="136" spans="1:80" ht="12.75">
      <c r="A136" s="1551">
        <v>56</v>
      </c>
      <c r="B136" s="1552" t="s">
        <v>724</v>
      </c>
      <c r="C136" s="1553" t="s">
        <v>725</v>
      </c>
      <c r="D136" s="1554" t="s">
        <v>9</v>
      </c>
      <c r="E136" s="1555">
        <v>0</v>
      </c>
      <c r="F136" s="1555">
        <v>0</v>
      </c>
      <c r="G136" s="1556">
        <f>E136*F136</f>
        <v>0</v>
      </c>
      <c r="H136" s="1557">
        <v>0</v>
      </c>
      <c r="I136" s="1558">
        <f>E136*H136</f>
        <v>0</v>
      </c>
      <c r="J136" s="1557"/>
      <c r="K136" s="1558">
        <f>E136*J136</f>
        <v>0</v>
      </c>
      <c r="O136" s="444">
        <v>2</v>
      </c>
      <c r="AA136" s="434">
        <v>7</v>
      </c>
      <c r="AB136" s="434">
        <v>1002</v>
      </c>
      <c r="AC136" s="434">
        <v>5</v>
      </c>
      <c r="AZ136" s="434">
        <v>2</v>
      </c>
      <c r="BA136" s="434">
        <f>IF(AZ136=1,G136,0)</f>
        <v>0</v>
      </c>
      <c r="BB136" s="434">
        <f>IF(AZ136=2,G136,0)</f>
        <v>0</v>
      </c>
      <c r="BC136" s="434">
        <f>IF(AZ136=3,G136,0)</f>
        <v>0</v>
      </c>
      <c r="BD136" s="434">
        <f>IF(AZ136=4,G136,0)</f>
        <v>0</v>
      </c>
      <c r="BE136" s="434">
        <f>IF(AZ136=5,G136,0)</f>
        <v>0</v>
      </c>
      <c r="CA136" s="444">
        <v>7</v>
      </c>
      <c r="CB136" s="444">
        <v>1002</v>
      </c>
    </row>
    <row r="137" spans="1:57" ht="12.75">
      <c r="A137" s="453"/>
      <c r="B137" s="452" t="s">
        <v>175</v>
      </c>
      <c r="C137" s="451" t="s">
        <v>2132</v>
      </c>
      <c r="D137" s="450"/>
      <c r="E137" s="449"/>
      <c r="F137" s="448"/>
      <c r="G137" s="447">
        <f>SUM(G134:G136)</f>
        <v>0</v>
      </c>
      <c r="H137" s="446"/>
      <c r="I137" s="445">
        <f>SUM(I134:I136)</f>
        <v>0</v>
      </c>
      <c r="J137" s="446"/>
      <c r="K137" s="445">
        <f>SUM(K134:K136)</f>
        <v>0</v>
      </c>
      <c r="O137" s="444">
        <v>4</v>
      </c>
      <c r="BA137" s="443">
        <f>SUM(BA134:BA136)</f>
        <v>0</v>
      </c>
      <c r="BB137" s="443">
        <f>SUM(BB134:BB136)</f>
        <v>0</v>
      </c>
      <c r="BC137" s="443">
        <f>SUM(BC134:BC136)</f>
        <v>0</v>
      </c>
      <c r="BD137" s="443">
        <f>SUM(BD134:BD136)</f>
        <v>0</v>
      </c>
      <c r="BE137" s="443">
        <f>SUM(BE134:BE136)</f>
        <v>0</v>
      </c>
    </row>
    <row r="138" spans="1:15" ht="12.75">
      <c r="A138" s="471" t="s">
        <v>140</v>
      </c>
      <c r="B138" s="470" t="s">
        <v>727</v>
      </c>
      <c r="C138" s="469" t="s">
        <v>728</v>
      </c>
      <c r="D138" s="468"/>
      <c r="E138" s="467"/>
      <c r="F138" s="467"/>
      <c r="G138" s="466"/>
      <c r="H138" s="465"/>
      <c r="I138" s="464"/>
      <c r="J138" s="463"/>
      <c r="K138" s="462"/>
      <c r="O138" s="444">
        <v>1</v>
      </c>
    </row>
    <row r="139" spans="1:80" ht="12.75">
      <c r="A139" s="461">
        <v>57</v>
      </c>
      <c r="B139" s="460" t="s">
        <v>729</v>
      </c>
      <c r="C139" s="459" t="s">
        <v>730</v>
      </c>
      <c r="D139" s="458" t="s">
        <v>181</v>
      </c>
      <c r="E139" s="457">
        <v>1</v>
      </c>
      <c r="F139" s="457">
        <v>0</v>
      </c>
      <c r="G139" s="456">
        <f>E139*F139</f>
        <v>0</v>
      </c>
      <c r="H139" s="455">
        <v>0.00012</v>
      </c>
      <c r="I139" s="454">
        <f>E139*H139</f>
        <v>0.00012</v>
      </c>
      <c r="J139" s="455">
        <v>0</v>
      </c>
      <c r="K139" s="454">
        <f>E139*J139</f>
        <v>0</v>
      </c>
      <c r="O139" s="444">
        <v>2</v>
      </c>
      <c r="AA139" s="434">
        <v>1</v>
      </c>
      <c r="AB139" s="434">
        <v>7</v>
      </c>
      <c r="AC139" s="434">
        <v>7</v>
      </c>
      <c r="AZ139" s="434">
        <v>2</v>
      </c>
      <c r="BA139" s="434">
        <f>IF(AZ139=1,G139,0)</f>
        <v>0</v>
      </c>
      <c r="BB139" s="434">
        <f>IF(AZ139=2,G139,0)</f>
        <v>0</v>
      </c>
      <c r="BC139" s="434">
        <f>IF(AZ139=3,G139,0)</f>
        <v>0</v>
      </c>
      <c r="BD139" s="434">
        <f>IF(AZ139=4,G139,0)</f>
        <v>0</v>
      </c>
      <c r="BE139" s="434">
        <f>IF(AZ139=5,G139,0)</f>
        <v>0</v>
      </c>
      <c r="CA139" s="444">
        <v>1</v>
      </c>
      <c r="CB139" s="444">
        <v>7</v>
      </c>
    </row>
    <row r="140" spans="1:80" ht="12.75">
      <c r="A140" s="461">
        <v>58</v>
      </c>
      <c r="B140" s="460" t="s">
        <v>755</v>
      </c>
      <c r="C140" s="459" t="s">
        <v>756</v>
      </c>
      <c r="D140" s="458" t="s">
        <v>757</v>
      </c>
      <c r="E140" s="457">
        <v>1</v>
      </c>
      <c r="F140" s="457">
        <v>0</v>
      </c>
      <c r="G140" s="456">
        <f>E140*F140</f>
        <v>0</v>
      </c>
      <c r="H140" s="455">
        <v>0</v>
      </c>
      <c r="I140" s="454">
        <f>E140*H140</f>
        <v>0</v>
      </c>
      <c r="J140" s="455"/>
      <c r="K140" s="454">
        <f>E140*J140</f>
        <v>0</v>
      </c>
      <c r="O140" s="444">
        <v>2</v>
      </c>
      <c r="AA140" s="434">
        <v>3</v>
      </c>
      <c r="AB140" s="434">
        <v>7</v>
      </c>
      <c r="AC140" s="434">
        <v>55149052</v>
      </c>
      <c r="AZ140" s="434">
        <v>2</v>
      </c>
      <c r="BA140" s="434">
        <f>IF(AZ140=1,G140,0)</f>
        <v>0</v>
      </c>
      <c r="BB140" s="434">
        <f>IF(AZ140=2,G140,0)</f>
        <v>0</v>
      </c>
      <c r="BC140" s="434">
        <f>IF(AZ140=3,G140,0)</f>
        <v>0</v>
      </c>
      <c r="BD140" s="434">
        <f>IF(AZ140=4,G140,0)</f>
        <v>0</v>
      </c>
      <c r="BE140" s="434">
        <f>IF(AZ140=5,G140,0)</f>
        <v>0</v>
      </c>
      <c r="CA140" s="444">
        <v>3</v>
      </c>
      <c r="CB140" s="444">
        <v>7</v>
      </c>
    </row>
    <row r="141" spans="1:80" ht="12.75">
      <c r="A141" s="461">
        <v>59</v>
      </c>
      <c r="B141" s="460" t="s">
        <v>765</v>
      </c>
      <c r="C141" s="459" t="s">
        <v>766</v>
      </c>
      <c r="D141" s="458" t="s">
        <v>9</v>
      </c>
      <c r="E141" s="457"/>
      <c r="F141" s="457">
        <v>0</v>
      </c>
      <c r="G141" s="456">
        <f>E141*F141</f>
        <v>0</v>
      </c>
      <c r="H141" s="455">
        <v>0</v>
      </c>
      <c r="I141" s="454">
        <f>E141*H141</f>
        <v>0</v>
      </c>
      <c r="J141" s="455"/>
      <c r="K141" s="454">
        <f>E141*J141</f>
        <v>0</v>
      </c>
      <c r="O141" s="444">
        <v>2</v>
      </c>
      <c r="AA141" s="434">
        <v>7</v>
      </c>
      <c r="AB141" s="434">
        <v>1002</v>
      </c>
      <c r="AC141" s="434">
        <v>5</v>
      </c>
      <c r="AZ141" s="434">
        <v>2</v>
      </c>
      <c r="BA141" s="434">
        <f>IF(AZ141=1,G141,0)</f>
        <v>0</v>
      </c>
      <c r="BB141" s="434">
        <f>IF(AZ141=2,G141,0)</f>
        <v>0</v>
      </c>
      <c r="BC141" s="434">
        <f>IF(AZ141=3,G141,0)</f>
        <v>0</v>
      </c>
      <c r="BD141" s="434">
        <f>IF(AZ141=4,G141,0)</f>
        <v>0</v>
      </c>
      <c r="BE141" s="434">
        <f>IF(AZ141=5,G141,0)</f>
        <v>0</v>
      </c>
      <c r="CA141" s="444">
        <v>7</v>
      </c>
      <c r="CB141" s="444">
        <v>1002</v>
      </c>
    </row>
    <row r="142" spans="1:57" ht="12.75">
      <c r="A142" s="453"/>
      <c r="B142" s="452" t="s">
        <v>175</v>
      </c>
      <c r="C142" s="451" t="s">
        <v>767</v>
      </c>
      <c r="D142" s="450"/>
      <c r="E142" s="449"/>
      <c r="F142" s="448"/>
      <c r="G142" s="447">
        <f>SUM(G138:G141)</f>
        <v>0</v>
      </c>
      <c r="H142" s="446"/>
      <c r="I142" s="445">
        <f>SUM(I138:I141)</f>
        <v>0.00012</v>
      </c>
      <c r="J142" s="446"/>
      <c r="K142" s="445">
        <f>SUM(K138:K141)</f>
        <v>0</v>
      </c>
      <c r="O142" s="444">
        <v>4</v>
      </c>
      <c r="BA142" s="443">
        <f>SUM(BA138:BA141)</f>
        <v>0</v>
      </c>
      <c r="BB142" s="443">
        <f>SUM(BB138:BB141)</f>
        <v>0</v>
      </c>
      <c r="BC142" s="443">
        <f>SUM(BC138:BC141)</f>
        <v>0</v>
      </c>
      <c r="BD142" s="443">
        <f>SUM(BD138:BD141)</f>
        <v>0</v>
      </c>
      <c r="BE142" s="443">
        <f>SUM(BE138:BE141)</f>
        <v>0</v>
      </c>
    </row>
    <row r="143" spans="1:15" ht="12.75">
      <c r="A143" s="471" t="s">
        <v>140</v>
      </c>
      <c r="B143" s="470" t="s">
        <v>247</v>
      </c>
      <c r="C143" s="469" t="s">
        <v>248</v>
      </c>
      <c r="D143" s="468"/>
      <c r="E143" s="467"/>
      <c r="F143" s="467"/>
      <c r="G143" s="466"/>
      <c r="H143" s="465"/>
      <c r="I143" s="464"/>
      <c r="J143" s="463"/>
      <c r="K143" s="462"/>
      <c r="O143" s="444">
        <v>1</v>
      </c>
    </row>
    <row r="144" spans="1:80" ht="20.4">
      <c r="A144" s="461">
        <v>60</v>
      </c>
      <c r="B144" s="460" t="s">
        <v>2343</v>
      </c>
      <c r="C144" s="459" t="s">
        <v>2344</v>
      </c>
      <c r="D144" s="458" t="s">
        <v>757</v>
      </c>
      <c r="E144" s="457">
        <v>6</v>
      </c>
      <c r="F144" s="457">
        <v>0</v>
      </c>
      <c r="G144" s="456">
        <f>E144*F144</f>
        <v>0</v>
      </c>
      <c r="H144" s="455">
        <v>0.00156</v>
      </c>
      <c r="I144" s="454">
        <f>E144*H144</f>
        <v>0.00936</v>
      </c>
      <c r="J144" s="455">
        <v>0</v>
      </c>
      <c r="K144" s="454">
        <f>E144*J144</f>
        <v>0</v>
      </c>
      <c r="O144" s="444">
        <v>2</v>
      </c>
      <c r="AA144" s="434">
        <v>1</v>
      </c>
      <c r="AB144" s="434">
        <v>7</v>
      </c>
      <c r="AC144" s="434">
        <v>7</v>
      </c>
      <c r="AZ144" s="434">
        <v>2</v>
      </c>
      <c r="BA144" s="434">
        <f>IF(AZ144=1,G144,0)</f>
        <v>0</v>
      </c>
      <c r="BB144" s="434">
        <f>IF(AZ144=2,G144,0)</f>
        <v>0</v>
      </c>
      <c r="BC144" s="434">
        <f>IF(AZ144=3,G144,0)</f>
        <v>0</v>
      </c>
      <c r="BD144" s="434">
        <f>IF(AZ144=4,G144,0)</f>
        <v>0</v>
      </c>
      <c r="BE144" s="434">
        <f>IF(AZ144=5,G144,0)</f>
        <v>0</v>
      </c>
      <c r="CA144" s="444">
        <v>1</v>
      </c>
      <c r="CB144" s="444">
        <v>7</v>
      </c>
    </row>
    <row r="145" spans="1:80" ht="12.75">
      <c r="A145" s="461">
        <v>61</v>
      </c>
      <c r="B145" s="460" t="s">
        <v>252</v>
      </c>
      <c r="C145" s="459" t="s">
        <v>253</v>
      </c>
      <c r="D145" s="458" t="s">
        <v>9</v>
      </c>
      <c r="E145" s="457"/>
      <c r="F145" s="457">
        <v>0</v>
      </c>
      <c r="G145" s="456">
        <f>E145*F145</f>
        <v>0</v>
      </c>
      <c r="H145" s="455">
        <v>0</v>
      </c>
      <c r="I145" s="454">
        <f>E145*H145</f>
        <v>0</v>
      </c>
      <c r="J145" s="455"/>
      <c r="K145" s="454">
        <f>E145*J145</f>
        <v>0</v>
      </c>
      <c r="O145" s="444">
        <v>2</v>
      </c>
      <c r="AA145" s="434">
        <v>7</v>
      </c>
      <c r="AB145" s="434">
        <v>1002</v>
      </c>
      <c r="AC145" s="434">
        <v>5</v>
      </c>
      <c r="AZ145" s="434">
        <v>2</v>
      </c>
      <c r="BA145" s="434">
        <f>IF(AZ145=1,G145,0)</f>
        <v>0</v>
      </c>
      <c r="BB145" s="434">
        <f>IF(AZ145=2,G145,0)</f>
        <v>0</v>
      </c>
      <c r="BC145" s="434">
        <f>IF(AZ145=3,G145,0)</f>
        <v>0</v>
      </c>
      <c r="BD145" s="434">
        <f>IF(AZ145=4,G145,0)</f>
        <v>0</v>
      </c>
      <c r="BE145" s="434">
        <f>IF(AZ145=5,G145,0)</f>
        <v>0</v>
      </c>
      <c r="CA145" s="444">
        <v>7</v>
      </c>
      <c r="CB145" s="444">
        <v>1002</v>
      </c>
    </row>
    <row r="146" spans="1:57" ht="12.75">
      <c r="A146" s="453"/>
      <c r="B146" s="452" t="s">
        <v>175</v>
      </c>
      <c r="C146" s="451" t="s">
        <v>254</v>
      </c>
      <c r="D146" s="450"/>
      <c r="E146" s="449"/>
      <c r="F146" s="448"/>
      <c r="G146" s="447">
        <f>SUM(G143:G145)</f>
        <v>0</v>
      </c>
      <c r="H146" s="446"/>
      <c r="I146" s="445">
        <f>SUM(I143:I145)</f>
        <v>0.00936</v>
      </c>
      <c r="J146" s="446"/>
      <c r="K146" s="445">
        <f>SUM(K143:K145)</f>
        <v>0</v>
      </c>
      <c r="O146" s="444">
        <v>4</v>
      </c>
      <c r="BA146" s="443">
        <f>SUM(BA143:BA145)</f>
        <v>0</v>
      </c>
      <c r="BB146" s="443">
        <f>SUM(BB143:BB145)</f>
        <v>0</v>
      </c>
      <c r="BC146" s="443">
        <f>SUM(BC143:BC145)</f>
        <v>0</v>
      </c>
      <c r="BD146" s="443">
        <f>SUM(BD143:BD145)</f>
        <v>0</v>
      </c>
      <c r="BE146" s="443">
        <f>SUM(BE143:BE145)</f>
        <v>0</v>
      </c>
    </row>
    <row r="147" spans="1:15" ht="12.75">
      <c r="A147" s="471" t="s">
        <v>140</v>
      </c>
      <c r="B147" s="470" t="s">
        <v>255</v>
      </c>
      <c r="C147" s="469" t="s">
        <v>256</v>
      </c>
      <c r="D147" s="468"/>
      <c r="E147" s="467"/>
      <c r="F147" s="467"/>
      <c r="G147" s="466"/>
      <c r="H147" s="465"/>
      <c r="I147" s="464"/>
      <c r="J147" s="463"/>
      <c r="K147" s="462"/>
      <c r="O147" s="444">
        <v>1</v>
      </c>
    </row>
    <row r="148" spans="1:80" ht="12.75">
      <c r="A148" s="461">
        <v>62</v>
      </c>
      <c r="B148" s="460" t="s">
        <v>2136</v>
      </c>
      <c r="C148" s="459" t="s">
        <v>2137</v>
      </c>
      <c r="D148" s="458" t="s">
        <v>196</v>
      </c>
      <c r="E148" s="457">
        <v>1</v>
      </c>
      <c r="F148" s="457">
        <v>0</v>
      </c>
      <c r="G148" s="456">
        <f>E148*F148</f>
        <v>0</v>
      </c>
      <c r="H148" s="455">
        <v>0</v>
      </c>
      <c r="I148" s="454">
        <f>E148*H148</f>
        <v>0</v>
      </c>
      <c r="J148" s="455">
        <v>0</v>
      </c>
      <c r="K148" s="454">
        <f>E148*J148</f>
        <v>0</v>
      </c>
      <c r="O148" s="444">
        <v>2</v>
      </c>
      <c r="AA148" s="434">
        <v>1</v>
      </c>
      <c r="AB148" s="434">
        <v>7</v>
      </c>
      <c r="AC148" s="434">
        <v>7</v>
      </c>
      <c r="AZ148" s="434">
        <v>2</v>
      </c>
      <c r="BA148" s="434">
        <f>IF(AZ148=1,G148,0)</f>
        <v>0</v>
      </c>
      <c r="BB148" s="434">
        <f>IF(AZ148=2,G148,0)</f>
        <v>0</v>
      </c>
      <c r="BC148" s="434">
        <f>IF(AZ148=3,G148,0)</f>
        <v>0</v>
      </c>
      <c r="BD148" s="434">
        <f>IF(AZ148=4,G148,0)</f>
        <v>0</v>
      </c>
      <c r="BE148" s="434">
        <f>IF(AZ148=5,G148,0)</f>
        <v>0</v>
      </c>
      <c r="CA148" s="444">
        <v>1</v>
      </c>
      <c r="CB148" s="444">
        <v>7</v>
      </c>
    </row>
    <row r="149" spans="1:80" ht="12.75">
      <c r="A149" s="461">
        <v>63</v>
      </c>
      <c r="B149" s="460" t="s">
        <v>1682</v>
      </c>
      <c r="C149" s="459" t="s">
        <v>2345</v>
      </c>
      <c r="D149" s="458" t="s">
        <v>259</v>
      </c>
      <c r="E149" s="457">
        <v>14.4</v>
      </c>
      <c r="F149" s="457">
        <v>0</v>
      </c>
      <c r="G149" s="456">
        <f>E149*F149</f>
        <v>0</v>
      </c>
      <c r="H149" s="455">
        <v>6E-05</v>
      </c>
      <c r="I149" s="454">
        <f>E149*H149</f>
        <v>0.0008640000000000001</v>
      </c>
      <c r="J149" s="455">
        <v>0</v>
      </c>
      <c r="K149" s="454">
        <f>E149*J149</f>
        <v>0</v>
      </c>
      <c r="O149" s="444">
        <v>2</v>
      </c>
      <c r="AA149" s="434">
        <v>1</v>
      </c>
      <c r="AB149" s="434">
        <v>7</v>
      </c>
      <c r="AC149" s="434">
        <v>7</v>
      </c>
      <c r="AZ149" s="434">
        <v>2</v>
      </c>
      <c r="BA149" s="434">
        <f>IF(AZ149=1,G149,0)</f>
        <v>0</v>
      </c>
      <c r="BB149" s="434">
        <f>IF(AZ149=2,G149,0)</f>
        <v>0</v>
      </c>
      <c r="BC149" s="434">
        <f>IF(AZ149=3,G149,0)</f>
        <v>0</v>
      </c>
      <c r="BD149" s="434">
        <f>IF(AZ149=4,G149,0)</f>
        <v>0</v>
      </c>
      <c r="BE149" s="434">
        <f>IF(AZ149=5,G149,0)</f>
        <v>0</v>
      </c>
      <c r="CA149" s="444">
        <v>1</v>
      </c>
      <c r="CB149" s="444">
        <v>7</v>
      </c>
    </row>
    <row r="150" spans="1:15" ht="12.75">
      <c r="A150" s="478"/>
      <c r="B150" s="477"/>
      <c r="C150" s="1621" t="s">
        <v>2346</v>
      </c>
      <c r="D150" s="1589"/>
      <c r="E150" s="476">
        <v>14.4</v>
      </c>
      <c r="F150" s="475"/>
      <c r="G150" s="230"/>
      <c r="H150" s="474"/>
      <c r="I150" s="473"/>
      <c r="J150" s="436"/>
      <c r="K150" s="473"/>
      <c r="M150" s="472" t="s">
        <v>2346</v>
      </c>
      <c r="O150" s="444"/>
    </row>
    <row r="151" spans="1:80" ht="20.4">
      <c r="A151" s="461">
        <v>64</v>
      </c>
      <c r="B151" s="460" t="s">
        <v>2347</v>
      </c>
      <c r="C151" s="459" t="s">
        <v>2348</v>
      </c>
      <c r="D151" s="458" t="s">
        <v>196</v>
      </c>
      <c r="E151" s="457">
        <v>1</v>
      </c>
      <c r="F151" s="457">
        <v>0</v>
      </c>
      <c r="G151" s="456">
        <f>E151*F151</f>
        <v>0</v>
      </c>
      <c r="H151" s="455">
        <v>0.01576</v>
      </c>
      <c r="I151" s="454">
        <f>E151*H151</f>
        <v>0.01576</v>
      </c>
      <c r="J151" s="455"/>
      <c r="K151" s="454">
        <f>E151*J151</f>
        <v>0</v>
      </c>
      <c r="O151" s="444">
        <v>2</v>
      </c>
      <c r="AA151" s="434">
        <v>3</v>
      </c>
      <c r="AB151" s="434">
        <v>7</v>
      </c>
      <c r="AC151" s="434">
        <v>5533099</v>
      </c>
      <c r="AZ151" s="434">
        <v>2</v>
      </c>
      <c r="BA151" s="434">
        <f>IF(AZ151=1,G151,0)</f>
        <v>0</v>
      </c>
      <c r="BB151" s="434">
        <f>IF(AZ151=2,G151,0)</f>
        <v>0</v>
      </c>
      <c r="BC151" s="434">
        <f>IF(AZ151=3,G151,0)</f>
        <v>0</v>
      </c>
      <c r="BD151" s="434">
        <f>IF(AZ151=4,G151,0)</f>
        <v>0</v>
      </c>
      <c r="BE151" s="434">
        <f>IF(AZ151=5,G151,0)</f>
        <v>0</v>
      </c>
      <c r="CA151" s="444">
        <v>3</v>
      </c>
      <c r="CB151" s="444">
        <v>7</v>
      </c>
    </row>
    <row r="152" spans="1:80" ht="20.4">
      <c r="A152" s="461">
        <v>65</v>
      </c>
      <c r="B152" s="460" t="s">
        <v>2349</v>
      </c>
      <c r="C152" s="459" t="s">
        <v>2350</v>
      </c>
      <c r="D152" s="458" t="s">
        <v>196</v>
      </c>
      <c r="E152" s="457">
        <v>1</v>
      </c>
      <c r="F152" s="457">
        <v>0</v>
      </c>
      <c r="G152" s="456">
        <f>E152*F152</f>
        <v>0</v>
      </c>
      <c r="H152" s="455">
        <v>0.0516</v>
      </c>
      <c r="I152" s="454">
        <f>E152*H152</f>
        <v>0.0516</v>
      </c>
      <c r="J152" s="455"/>
      <c r="K152" s="454">
        <f>E152*J152</f>
        <v>0</v>
      </c>
      <c r="O152" s="444">
        <v>2</v>
      </c>
      <c r="AA152" s="434">
        <v>3</v>
      </c>
      <c r="AB152" s="434">
        <v>7</v>
      </c>
      <c r="AC152" s="434">
        <v>55340775</v>
      </c>
      <c r="AZ152" s="434">
        <v>2</v>
      </c>
      <c r="BA152" s="434">
        <f>IF(AZ152=1,G152,0)</f>
        <v>0</v>
      </c>
      <c r="BB152" s="434">
        <f>IF(AZ152=2,G152,0)</f>
        <v>0</v>
      </c>
      <c r="BC152" s="434">
        <f>IF(AZ152=3,G152,0)</f>
        <v>0</v>
      </c>
      <c r="BD152" s="434">
        <f>IF(AZ152=4,G152,0)</f>
        <v>0</v>
      </c>
      <c r="BE152" s="434">
        <f>IF(AZ152=5,G152,0)</f>
        <v>0</v>
      </c>
      <c r="CA152" s="444">
        <v>3</v>
      </c>
      <c r="CB152" s="444">
        <v>7</v>
      </c>
    </row>
    <row r="153" spans="1:80" ht="12.75">
      <c r="A153" s="461">
        <v>66</v>
      </c>
      <c r="B153" s="460" t="s">
        <v>263</v>
      </c>
      <c r="C153" s="459" t="s">
        <v>264</v>
      </c>
      <c r="D153" s="458" t="s">
        <v>9</v>
      </c>
      <c r="E153" s="457"/>
      <c r="F153" s="457">
        <v>0</v>
      </c>
      <c r="G153" s="456">
        <f>E153*F153</f>
        <v>0</v>
      </c>
      <c r="H153" s="455">
        <v>0</v>
      </c>
      <c r="I153" s="454">
        <f>E153*H153</f>
        <v>0</v>
      </c>
      <c r="J153" s="455"/>
      <c r="K153" s="454">
        <f>E153*J153</f>
        <v>0</v>
      </c>
      <c r="O153" s="444">
        <v>2</v>
      </c>
      <c r="AA153" s="434">
        <v>7</v>
      </c>
      <c r="AB153" s="434">
        <v>1002</v>
      </c>
      <c r="AC153" s="434">
        <v>5</v>
      </c>
      <c r="AZ153" s="434">
        <v>2</v>
      </c>
      <c r="BA153" s="434">
        <f>IF(AZ153=1,G153,0)</f>
        <v>0</v>
      </c>
      <c r="BB153" s="434">
        <f>IF(AZ153=2,G153,0)</f>
        <v>0</v>
      </c>
      <c r="BC153" s="434">
        <f>IF(AZ153=3,G153,0)</f>
        <v>0</v>
      </c>
      <c r="BD153" s="434">
        <f>IF(AZ153=4,G153,0)</f>
        <v>0</v>
      </c>
      <c r="BE153" s="434">
        <f>IF(AZ153=5,G153,0)</f>
        <v>0</v>
      </c>
      <c r="CA153" s="444">
        <v>7</v>
      </c>
      <c r="CB153" s="444">
        <v>1002</v>
      </c>
    </row>
    <row r="154" spans="1:57" ht="12.75">
      <c r="A154" s="453"/>
      <c r="B154" s="452" t="s">
        <v>175</v>
      </c>
      <c r="C154" s="451" t="s">
        <v>265</v>
      </c>
      <c r="D154" s="450"/>
      <c r="E154" s="449"/>
      <c r="F154" s="448"/>
      <c r="G154" s="447">
        <f>SUM(G147:G153)</f>
        <v>0</v>
      </c>
      <c r="H154" s="446"/>
      <c r="I154" s="445">
        <f>SUM(I147:I153)</f>
        <v>0.068224</v>
      </c>
      <c r="J154" s="446"/>
      <c r="K154" s="445">
        <f>SUM(K147:K153)</f>
        <v>0</v>
      </c>
      <c r="O154" s="444">
        <v>4</v>
      </c>
      <c r="BA154" s="443">
        <f>SUM(BA147:BA153)</f>
        <v>0</v>
      </c>
      <c r="BB154" s="443">
        <f>SUM(BB147:BB153)</f>
        <v>0</v>
      </c>
      <c r="BC154" s="443">
        <f>SUM(BC147:BC153)</f>
        <v>0</v>
      </c>
      <c r="BD154" s="443">
        <f>SUM(BD147:BD153)</f>
        <v>0</v>
      </c>
      <c r="BE154" s="443">
        <f>SUM(BE147:BE153)</f>
        <v>0</v>
      </c>
    </row>
    <row r="155" spans="1:15" ht="12.75">
      <c r="A155" s="471" t="s">
        <v>140</v>
      </c>
      <c r="B155" s="470" t="s">
        <v>994</v>
      </c>
      <c r="C155" s="469" t="s">
        <v>995</v>
      </c>
      <c r="D155" s="468"/>
      <c r="E155" s="467"/>
      <c r="F155" s="467"/>
      <c r="G155" s="466"/>
      <c r="H155" s="465"/>
      <c r="I155" s="464"/>
      <c r="J155" s="463"/>
      <c r="K155" s="462"/>
      <c r="O155" s="444">
        <v>1</v>
      </c>
    </row>
    <row r="156" spans="1:80" ht="12.75">
      <c r="A156" s="461">
        <v>67</v>
      </c>
      <c r="B156" s="460" t="s">
        <v>2351</v>
      </c>
      <c r="C156" s="459" t="s">
        <v>2352</v>
      </c>
      <c r="D156" s="458" t="s">
        <v>145</v>
      </c>
      <c r="E156" s="457">
        <v>19.8</v>
      </c>
      <c r="F156" s="457">
        <v>0</v>
      </c>
      <c r="G156" s="456">
        <f>E156*F156</f>
        <v>0</v>
      </c>
      <c r="H156" s="455">
        <v>0.00049</v>
      </c>
      <c r="I156" s="454">
        <f>E156*H156</f>
        <v>0.009702</v>
      </c>
      <c r="J156" s="455">
        <v>0</v>
      </c>
      <c r="K156" s="454">
        <f>E156*J156</f>
        <v>0</v>
      </c>
      <c r="O156" s="444">
        <v>2</v>
      </c>
      <c r="AA156" s="434">
        <v>1</v>
      </c>
      <c r="AB156" s="434">
        <v>0</v>
      </c>
      <c r="AC156" s="434">
        <v>0</v>
      </c>
      <c r="AZ156" s="434">
        <v>2</v>
      </c>
      <c r="BA156" s="434">
        <f>IF(AZ156=1,G156,0)</f>
        <v>0</v>
      </c>
      <c r="BB156" s="434">
        <f>IF(AZ156=2,G156,0)</f>
        <v>0</v>
      </c>
      <c r="BC156" s="434">
        <f>IF(AZ156=3,G156,0)</f>
        <v>0</v>
      </c>
      <c r="BD156" s="434">
        <f>IF(AZ156=4,G156,0)</f>
        <v>0</v>
      </c>
      <c r="BE156" s="434">
        <f>IF(AZ156=5,G156,0)</f>
        <v>0</v>
      </c>
      <c r="CA156" s="444">
        <v>1</v>
      </c>
      <c r="CB156" s="444">
        <v>0</v>
      </c>
    </row>
    <row r="157" spans="1:15" ht="12.75">
      <c r="A157" s="478"/>
      <c r="B157" s="477"/>
      <c r="C157" s="1621" t="s">
        <v>683</v>
      </c>
      <c r="D157" s="1589"/>
      <c r="E157" s="476">
        <v>0</v>
      </c>
      <c r="F157" s="475"/>
      <c r="G157" s="230"/>
      <c r="H157" s="474"/>
      <c r="I157" s="473"/>
      <c r="J157" s="436"/>
      <c r="K157" s="473"/>
      <c r="M157" s="472" t="s">
        <v>683</v>
      </c>
      <c r="O157" s="444"/>
    </row>
    <row r="158" spans="1:15" ht="12.75">
      <c r="A158" s="478"/>
      <c r="B158" s="477"/>
      <c r="C158" s="1621" t="s">
        <v>2353</v>
      </c>
      <c r="D158" s="1589"/>
      <c r="E158" s="476">
        <v>18</v>
      </c>
      <c r="F158" s="475"/>
      <c r="G158" s="230"/>
      <c r="H158" s="474"/>
      <c r="I158" s="473"/>
      <c r="J158" s="436"/>
      <c r="K158" s="473"/>
      <c r="M158" s="472" t="s">
        <v>2353</v>
      </c>
      <c r="O158" s="444"/>
    </row>
    <row r="159" spans="1:15" ht="12.75">
      <c r="A159" s="478"/>
      <c r="B159" s="477"/>
      <c r="C159" s="1621" t="s">
        <v>2354</v>
      </c>
      <c r="D159" s="1589"/>
      <c r="E159" s="476">
        <v>1.8</v>
      </c>
      <c r="F159" s="475"/>
      <c r="G159" s="230"/>
      <c r="H159" s="474"/>
      <c r="I159" s="473"/>
      <c r="J159" s="436"/>
      <c r="K159" s="473"/>
      <c r="M159" s="472" t="s">
        <v>2354</v>
      </c>
      <c r="O159" s="444"/>
    </row>
    <row r="160" spans="1:80" ht="12.75">
      <c r="A160" s="461">
        <v>68</v>
      </c>
      <c r="B160" s="460" t="s">
        <v>2355</v>
      </c>
      <c r="C160" s="459" t="s">
        <v>2356</v>
      </c>
      <c r="D160" s="458" t="s">
        <v>145</v>
      </c>
      <c r="E160" s="457">
        <v>39.6</v>
      </c>
      <c r="F160" s="457">
        <v>0</v>
      </c>
      <c r="G160" s="456">
        <f>E160*F160</f>
        <v>0</v>
      </c>
      <c r="H160" s="455">
        <v>0.00111</v>
      </c>
      <c r="I160" s="454">
        <f>E160*H160</f>
        <v>0.043956</v>
      </c>
      <c r="J160" s="455">
        <v>0</v>
      </c>
      <c r="K160" s="454">
        <f>E160*J160</f>
        <v>0</v>
      </c>
      <c r="O160" s="444">
        <v>2</v>
      </c>
      <c r="AA160" s="434">
        <v>1</v>
      </c>
      <c r="AB160" s="434">
        <v>7</v>
      </c>
      <c r="AC160" s="434">
        <v>7</v>
      </c>
      <c r="AZ160" s="434">
        <v>2</v>
      </c>
      <c r="BA160" s="434">
        <f>IF(AZ160=1,G160,0)</f>
        <v>0</v>
      </c>
      <c r="BB160" s="434">
        <f>IF(AZ160=2,G160,0)</f>
        <v>0</v>
      </c>
      <c r="BC160" s="434">
        <f>IF(AZ160=3,G160,0)</f>
        <v>0</v>
      </c>
      <c r="BD160" s="434">
        <f>IF(AZ160=4,G160,0)</f>
        <v>0</v>
      </c>
      <c r="BE160" s="434">
        <f>IF(AZ160=5,G160,0)</f>
        <v>0</v>
      </c>
      <c r="CA160" s="444">
        <v>1</v>
      </c>
      <c r="CB160" s="444">
        <v>7</v>
      </c>
    </row>
    <row r="161" spans="1:15" ht="12.75">
      <c r="A161" s="478"/>
      <c r="B161" s="477"/>
      <c r="C161" s="1621" t="s">
        <v>2357</v>
      </c>
      <c r="D161" s="1589"/>
      <c r="E161" s="476">
        <v>39.6</v>
      </c>
      <c r="F161" s="475"/>
      <c r="G161" s="230"/>
      <c r="H161" s="474"/>
      <c r="I161" s="473"/>
      <c r="J161" s="436"/>
      <c r="K161" s="473"/>
      <c r="M161" s="472" t="s">
        <v>2357</v>
      </c>
      <c r="O161" s="444"/>
    </row>
    <row r="162" spans="1:57" ht="12.75">
      <c r="A162" s="453"/>
      <c r="B162" s="452" t="s">
        <v>175</v>
      </c>
      <c r="C162" s="451" t="s">
        <v>1002</v>
      </c>
      <c r="D162" s="450"/>
      <c r="E162" s="449"/>
      <c r="F162" s="448"/>
      <c r="G162" s="447">
        <f>SUM(G155:G161)</f>
        <v>0</v>
      </c>
      <c r="H162" s="446"/>
      <c r="I162" s="445">
        <f>SUM(I155:I161)</f>
        <v>0.053658000000000004</v>
      </c>
      <c r="J162" s="446"/>
      <c r="K162" s="445">
        <f>SUM(K155:K161)</f>
        <v>0</v>
      </c>
      <c r="O162" s="444">
        <v>4</v>
      </c>
      <c r="BA162" s="443">
        <f>SUM(BA155:BA161)</f>
        <v>0</v>
      </c>
      <c r="BB162" s="443">
        <f>SUM(BB155:BB161)</f>
        <v>0</v>
      </c>
      <c r="BC162" s="443">
        <f>SUM(BC155:BC161)</f>
        <v>0</v>
      </c>
      <c r="BD162" s="443">
        <f>SUM(BD155:BD161)</f>
        <v>0</v>
      </c>
      <c r="BE162" s="443">
        <f>SUM(BE155:BE161)</f>
        <v>0</v>
      </c>
    </row>
    <row r="163" spans="1:15" ht="12.75">
      <c r="A163" s="471" t="s">
        <v>140</v>
      </c>
      <c r="B163" s="470" t="s">
        <v>1021</v>
      </c>
      <c r="C163" s="469" t="s">
        <v>1022</v>
      </c>
      <c r="D163" s="468"/>
      <c r="E163" s="467"/>
      <c r="F163" s="467"/>
      <c r="G163" s="466"/>
      <c r="H163" s="465"/>
      <c r="I163" s="464"/>
      <c r="J163" s="463"/>
      <c r="K163" s="462"/>
      <c r="O163" s="444">
        <v>1</v>
      </c>
    </row>
    <row r="164" spans="1:80" ht="12.75">
      <c r="A164" s="1551">
        <v>69</v>
      </c>
      <c r="B164" s="1552" t="s">
        <v>2165</v>
      </c>
      <c r="C164" s="1553" t="s">
        <v>2166</v>
      </c>
      <c r="D164" s="1554" t="s">
        <v>181</v>
      </c>
      <c r="E164" s="1555">
        <v>1</v>
      </c>
      <c r="F164" s="1555">
        <v>0</v>
      </c>
      <c r="G164" s="1556">
        <f>E164*F164</f>
        <v>0</v>
      </c>
      <c r="H164" s="1557">
        <v>0</v>
      </c>
      <c r="I164" s="1558">
        <f>E164*H164</f>
        <v>0</v>
      </c>
      <c r="J164" s="1557">
        <v>0</v>
      </c>
      <c r="K164" s="1558">
        <f>E164*J164</f>
        <v>0</v>
      </c>
      <c r="O164" s="444">
        <v>2</v>
      </c>
      <c r="AA164" s="434">
        <v>1</v>
      </c>
      <c r="AB164" s="434">
        <v>9</v>
      </c>
      <c r="AC164" s="434">
        <v>9</v>
      </c>
      <c r="AZ164" s="434">
        <v>4</v>
      </c>
      <c r="BA164" s="434">
        <f>IF(AZ164=1,G164,0)</f>
        <v>0</v>
      </c>
      <c r="BB164" s="434">
        <f>IF(AZ164=2,G164,0)</f>
        <v>0</v>
      </c>
      <c r="BC164" s="434">
        <f>IF(AZ164=3,G164,0)</f>
        <v>0</v>
      </c>
      <c r="BD164" s="434">
        <f>IF(AZ164=4,G164,0)</f>
        <v>0</v>
      </c>
      <c r="BE164" s="434">
        <f>IF(AZ164=5,G164,0)</f>
        <v>0</v>
      </c>
      <c r="CA164" s="444">
        <v>1</v>
      </c>
      <c r="CB164" s="444">
        <v>9</v>
      </c>
    </row>
    <row r="165" spans="1:80" ht="12.75">
      <c r="A165" s="1551">
        <v>70</v>
      </c>
      <c r="B165" s="1552" t="s">
        <v>2169</v>
      </c>
      <c r="C165" s="1553" t="s">
        <v>2170</v>
      </c>
      <c r="D165" s="1554" t="s">
        <v>181</v>
      </c>
      <c r="E165" s="1555">
        <v>1</v>
      </c>
      <c r="F165" s="1555">
        <v>0</v>
      </c>
      <c r="G165" s="1556">
        <f>E165*F165</f>
        <v>0</v>
      </c>
      <c r="H165" s="1557">
        <v>0</v>
      </c>
      <c r="I165" s="1558">
        <f>E165*H165</f>
        <v>0</v>
      </c>
      <c r="J165" s="1557">
        <v>0</v>
      </c>
      <c r="K165" s="1558">
        <f>E165*J165</f>
        <v>0</v>
      </c>
      <c r="O165" s="444">
        <v>2</v>
      </c>
      <c r="AA165" s="434">
        <v>1</v>
      </c>
      <c r="AB165" s="434">
        <v>9</v>
      </c>
      <c r="AC165" s="434">
        <v>9</v>
      </c>
      <c r="AZ165" s="434">
        <v>4</v>
      </c>
      <c r="BA165" s="434">
        <f>IF(AZ165=1,G165,0)</f>
        <v>0</v>
      </c>
      <c r="BB165" s="434">
        <f>IF(AZ165=2,G165,0)</f>
        <v>0</v>
      </c>
      <c r="BC165" s="434">
        <f>IF(AZ165=3,G165,0)</f>
        <v>0</v>
      </c>
      <c r="BD165" s="434">
        <f>IF(AZ165=4,G165,0)</f>
        <v>0</v>
      </c>
      <c r="BE165" s="434">
        <f>IF(AZ165=5,G165,0)</f>
        <v>0</v>
      </c>
      <c r="CA165" s="444">
        <v>1</v>
      </c>
      <c r="CB165" s="444">
        <v>9</v>
      </c>
    </row>
    <row r="166" spans="1:57" ht="12.75">
      <c r="A166" s="453"/>
      <c r="B166" s="452" t="s">
        <v>175</v>
      </c>
      <c r="C166" s="451" t="s">
        <v>1027</v>
      </c>
      <c r="D166" s="450"/>
      <c r="E166" s="449"/>
      <c r="F166" s="448"/>
      <c r="G166" s="447">
        <f>SUM(G163:G165)</f>
        <v>0</v>
      </c>
      <c r="H166" s="446"/>
      <c r="I166" s="445">
        <f>SUM(I163:I165)</f>
        <v>0</v>
      </c>
      <c r="J166" s="446"/>
      <c r="K166" s="445">
        <f>SUM(K163:K165)</f>
        <v>0</v>
      </c>
      <c r="O166" s="444">
        <v>4</v>
      </c>
      <c r="BA166" s="443">
        <f>SUM(BA163:BA165)</f>
        <v>0</v>
      </c>
      <c r="BB166" s="443">
        <f>SUM(BB163:BB165)</f>
        <v>0</v>
      </c>
      <c r="BC166" s="443">
        <f>SUM(BC163:BC165)</f>
        <v>0</v>
      </c>
      <c r="BD166" s="443">
        <f>SUM(BD163:BD165)</f>
        <v>0</v>
      </c>
      <c r="BE166" s="443">
        <f>SUM(BE163:BE165)</f>
        <v>0</v>
      </c>
    </row>
    <row r="167" ht="12.75">
      <c r="E167" s="434"/>
    </row>
    <row r="168" ht="12.75">
      <c r="E168" s="434"/>
    </row>
    <row r="169" ht="12.75">
      <c r="E169" s="434"/>
    </row>
    <row r="170" ht="12.75">
      <c r="E170" s="434"/>
    </row>
    <row r="171" ht="12.75">
      <c r="E171" s="434"/>
    </row>
    <row r="172" ht="12.75">
      <c r="E172" s="434"/>
    </row>
    <row r="173" ht="12.75">
      <c r="E173" s="434"/>
    </row>
    <row r="174" ht="12.75">
      <c r="E174" s="434"/>
    </row>
    <row r="175" ht="12.75">
      <c r="E175" s="434"/>
    </row>
    <row r="176" ht="12.75">
      <c r="E176" s="434"/>
    </row>
    <row r="177" ht="12.75">
      <c r="E177" s="434"/>
    </row>
    <row r="178" ht="12.75">
      <c r="E178" s="434"/>
    </row>
    <row r="179" ht="12.75">
      <c r="E179" s="434"/>
    </row>
    <row r="180" ht="12.75">
      <c r="E180" s="434"/>
    </row>
    <row r="181" ht="12.75">
      <c r="E181" s="434"/>
    </row>
    <row r="182" ht="12.75">
      <c r="E182" s="434"/>
    </row>
    <row r="183" ht="12.75">
      <c r="E183" s="434"/>
    </row>
    <row r="184" ht="12.75">
      <c r="E184" s="434"/>
    </row>
    <row r="185" ht="12.75">
      <c r="E185" s="434"/>
    </row>
    <row r="186" ht="12.75">
      <c r="E186" s="434"/>
    </row>
    <row r="187" ht="12.75">
      <c r="E187" s="434"/>
    </row>
    <row r="188" ht="12.75">
      <c r="E188" s="434"/>
    </row>
    <row r="189" ht="12.75">
      <c r="E189" s="434"/>
    </row>
    <row r="190" spans="1:7" ht="12.75">
      <c r="A190" s="436"/>
      <c r="B190" s="436"/>
      <c r="C190" s="436"/>
      <c r="D190" s="436"/>
      <c r="E190" s="436"/>
      <c r="F190" s="436"/>
      <c r="G190" s="436"/>
    </row>
    <row r="191" spans="1:7" ht="12.75">
      <c r="A191" s="436"/>
      <c r="B191" s="436"/>
      <c r="C191" s="436"/>
      <c r="D191" s="436"/>
      <c r="E191" s="436"/>
      <c r="F191" s="436"/>
      <c r="G191" s="436"/>
    </row>
    <row r="192" spans="1:7" ht="12.75">
      <c r="A192" s="436"/>
      <c r="B192" s="436"/>
      <c r="C192" s="436"/>
      <c r="D192" s="436"/>
      <c r="E192" s="436"/>
      <c r="F192" s="436"/>
      <c r="G192" s="436"/>
    </row>
    <row r="193" spans="1:7" ht="12.75">
      <c r="A193" s="436"/>
      <c r="B193" s="436"/>
      <c r="C193" s="436"/>
      <c r="D193" s="436"/>
      <c r="E193" s="436"/>
      <c r="F193" s="436"/>
      <c r="G193" s="436"/>
    </row>
    <row r="194" ht="12.75">
      <c r="E194" s="434"/>
    </row>
    <row r="195" ht="12.75">
      <c r="E195" s="434"/>
    </row>
    <row r="196" ht="12.75">
      <c r="E196" s="434"/>
    </row>
    <row r="197" ht="12.75">
      <c r="E197" s="434"/>
    </row>
    <row r="198" ht="12.75">
      <c r="E198" s="434"/>
    </row>
    <row r="199" ht="12.75">
      <c r="E199" s="434"/>
    </row>
    <row r="200" ht="12.75">
      <c r="E200" s="434"/>
    </row>
    <row r="201" ht="12.75">
      <c r="E201" s="434"/>
    </row>
    <row r="202" ht="12.75">
      <c r="E202" s="434"/>
    </row>
    <row r="203" ht="12.75">
      <c r="E203" s="434"/>
    </row>
    <row r="204" ht="12.75">
      <c r="E204" s="434"/>
    </row>
    <row r="205" ht="12.75">
      <c r="E205" s="434"/>
    </row>
    <row r="206" ht="12.75">
      <c r="E206" s="434"/>
    </row>
    <row r="207" ht="12.75">
      <c r="E207" s="434"/>
    </row>
    <row r="208" ht="12.75">
      <c r="E208" s="434"/>
    </row>
    <row r="209" ht="12.75">
      <c r="E209" s="434"/>
    </row>
    <row r="210" ht="12.75">
      <c r="E210" s="434"/>
    </row>
    <row r="211" ht="12.75">
      <c r="E211" s="434"/>
    </row>
    <row r="212" ht="12.75">
      <c r="E212" s="434"/>
    </row>
    <row r="213" ht="12.75">
      <c r="E213" s="434"/>
    </row>
    <row r="214" ht="12.75">
      <c r="E214" s="434"/>
    </row>
    <row r="215" ht="12.75">
      <c r="E215" s="434"/>
    </row>
    <row r="216" ht="12.75">
      <c r="E216" s="434"/>
    </row>
    <row r="217" ht="12.75">
      <c r="E217" s="434"/>
    </row>
    <row r="218" ht="12.75">
      <c r="E218" s="434"/>
    </row>
    <row r="219" ht="12.75">
      <c r="E219" s="434"/>
    </row>
    <row r="220" ht="12.75">
      <c r="E220" s="434"/>
    </row>
    <row r="221" ht="12.75">
      <c r="E221" s="434"/>
    </row>
    <row r="222" ht="12.75">
      <c r="E222" s="434"/>
    </row>
    <row r="223" ht="12.75">
      <c r="E223" s="434"/>
    </row>
    <row r="224" ht="12.75">
      <c r="E224" s="434"/>
    </row>
    <row r="225" spans="1:2" ht="12.75">
      <c r="A225" s="442"/>
      <c r="B225" s="442"/>
    </row>
    <row r="226" spans="1:7" ht="12.75">
      <c r="A226" s="436"/>
      <c r="B226" s="436"/>
      <c r="C226" s="440"/>
      <c r="D226" s="440"/>
      <c r="E226" s="441"/>
      <c r="F226" s="440"/>
      <c r="G226" s="439"/>
    </row>
    <row r="227" spans="1:7" ht="12.75">
      <c r="A227" s="438"/>
      <c r="B227" s="438"/>
      <c r="C227" s="436"/>
      <c r="D227" s="436"/>
      <c r="E227" s="437"/>
      <c r="F227" s="436"/>
      <c r="G227" s="436"/>
    </row>
    <row r="228" spans="1:7" ht="12.75">
      <c r="A228" s="436"/>
      <c r="B228" s="436"/>
      <c r="C228" s="436"/>
      <c r="D228" s="436"/>
      <c r="E228" s="437"/>
      <c r="F228" s="436"/>
      <c r="G228" s="436"/>
    </row>
    <row r="229" spans="1:7" ht="12.75">
      <c r="A229" s="436"/>
      <c r="B229" s="436"/>
      <c r="C229" s="436"/>
      <c r="D229" s="436"/>
      <c r="E229" s="437"/>
      <c r="F229" s="436"/>
      <c r="G229" s="436"/>
    </row>
    <row r="230" spans="1:7" ht="12.75">
      <c r="A230" s="436"/>
      <c r="B230" s="436"/>
      <c r="C230" s="436"/>
      <c r="D230" s="436"/>
      <c r="E230" s="437"/>
      <c r="F230" s="436"/>
      <c r="G230" s="436"/>
    </row>
    <row r="231" spans="1:7" ht="12.75">
      <c r="A231" s="436"/>
      <c r="B231" s="436"/>
      <c r="C231" s="436"/>
      <c r="D231" s="436"/>
      <c r="E231" s="437"/>
      <c r="F231" s="436"/>
      <c r="G231" s="436"/>
    </row>
    <row r="232" spans="1:7" ht="12.75">
      <c r="A232" s="436"/>
      <c r="B232" s="436"/>
      <c r="C232" s="436"/>
      <c r="D232" s="436"/>
      <c r="E232" s="437"/>
      <c r="F232" s="436"/>
      <c r="G232" s="436"/>
    </row>
    <row r="233" spans="1:7" ht="12.75">
      <c r="A233" s="436"/>
      <c r="B233" s="436"/>
      <c r="C233" s="436"/>
      <c r="D233" s="436"/>
      <c r="E233" s="437"/>
      <c r="F233" s="436"/>
      <c r="G233" s="436"/>
    </row>
    <row r="234" spans="1:7" ht="12.75">
      <c r="A234" s="436"/>
      <c r="B234" s="436"/>
      <c r="C234" s="436"/>
      <c r="D234" s="436"/>
      <c r="E234" s="437"/>
      <c r="F234" s="436"/>
      <c r="G234" s="436"/>
    </row>
    <row r="235" spans="1:7" ht="12.75">
      <c r="A235" s="436"/>
      <c r="B235" s="436"/>
      <c r="C235" s="436"/>
      <c r="D235" s="436"/>
      <c r="E235" s="437"/>
      <c r="F235" s="436"/>
      <c r="G235" s="436"/>
    </row>
    <row r="236" spans="1:7" ht="12.75">
      <c r="A236" s="436"/>
      <c r="B236" s="436"/>
      <c r="C236" s="436"/>
      <c r="D236" s="436"/>
      <c r="E236" s="437"/>
      <c r="F236" s="436"/>
      <c r="G236" s="436"/>
    </row>
    <row r="237" spans="1:7" ht="12.75">
      <c r="A237" s="436"/>
      <c r="B237" s="436"/>
      <c r="C237" s="436"/>
      <c r="D237" s="436"/>
      <c r="E237" s="437"/>
      <c r="F237" s="436"/>
      <c r="G237" s="436"/>
    </row>
    <row r="238" spans="1:7" ht="12.75">
      <c r="A238" s="436"/>
      <c r="B238" s="436"/>
      <c r="C238" s="436"/>
      <c r="D238" s="436"/>
      <c r="E238" s="437"/>
      <c r="F238" s="436"/>
      <c r="G238" s="436"/>
    </row>
    <row r="239" spans="1:7" ht="12.75">
      <c r="A239" s="436"/>
      <c r="B239" s="436"/>
      <c r="C239" s="436"/>
      <c r="D239" s="436"/>
      <c r="E239" s="437"/>
      <c r="F239" s="436"/>
      <c r="G239" s="436"/>
    </row>
  </sheetData>
  <mergeCells count="64">
    <mergeCell ref="C10:D10"/>
    <mergeCell ref="A1:G1"/>
    <mergeCell ref="A3:B3"/>
    <mergeCell ref="A4:B4"/>
    <mergeCell ref="E4:G4"/>
    <mergeCell ref="C9:G9"/>
    <mergeCell ref="C38:D38"/>
    <mergeCell ref="C12:G12"/>
    <mergeCell ref="C15:D15"/>
    <mergeCell ref="C16:D16"/>
    <mergeCell ref="C19:D19"/>
    <mergeCell ref="C25:D25"/>
    <mergeCell ref="C27:D27"/>
    <mergeCell ref="C28:D28"/>
    <mergeCell ref="C30:D30"/>
    <mergeCell ref="C32:D32"/>
    <mergeCell ref="C34:D34"/>
    <mergeCell ref="C36:D36"/>
    <mergeCell ref="C63:D63"/>
    <mergeCell ref="C39:D39"/>
    <mergeCell ref="C41:D41"/>
    <mergeCell ref="C43:D43"/>
    <mergeCell ref="C47:D47"/>
    <mergeCell ref="C50:D50"/>
    <mergeCell ref="C51:D51"/>
    <mergeCell ref="C52:D52"/>
    <mergeCell ref="C53:D53"/>
    <mergeCell ref="C57:D57"/>
    <mergeCell ref="C59:D59"/>
    <mergeCell ref="C61:D61"/>
    <mergeCell ref="C92:D92"/>
    <mergeCell ref="C66:D66"/>
    <mergeCell ref="C68:D68"/>
    <mergeCell ref="C71:D71"/>
    <mergeCell ref="C73:D73"/>
    <mergeCell ref="C78:D78"/>
    <mergeCell ref="C80:D80"/>
    <mergeCell ref="C82:D82"/>
    <mergeCell ref="C84:D84"/>
    <mergeCell ref="C88:D88"/>
    <mergeCell ref="C89:D89"/>
    <mergeCell ref="C90:D90"/>
    <mergeCell ref="C119:D119"/>
    <mergeCell ref="C94:D94"/>
    <mergeCell ref="C96:D96"/>
    <mergeCell ref="C98:D98"/>
    <mergeCell ref="C99:D99"/>
    <mergeCell ref="C101:D101"/>
    <mergeCell ref="C102:D102"/>
    <mergeCell ref="C103:D103"/>
    <mergeCell ref="C107:D107"/>
    <mergeCell ref="C114:D114"/>
    <mergeCell ref="C115:D115"/>
    <mergeCell ref="C117:D117"/>
    <mergeCell ref="C157:D157"/>
    <mergeCell ref="C158:D158"/>
    <mergeCell ref="C159:D159"/>
    <mergeCell ref="C161:D161"/>
    <mergeCell ref="C121:D121"/>
    <mergeCell ref="C123:D123"/>
    <mergeCell ref="C125:D125"/>
    <mergeCell ref="C128:D128"/>
    <mergeCell ref="C131:D131"/>
    <mergeCell ref="C150:D150"/>
  </mergeCells>
  <printOptions horizontalCentered="1"/>
  <pageMargins left="0.5905511811023623" right="0.3937007874015748" top="0.5905511811023623" bottom="0.984251968503937" header="0.1968503937007874" footer="0.5118110236220472"/>
  <pageSetup fitToHeight="4" fitToWidth="1" horizontalDpi="300" verticalDpi="300" orientation="portrait" paperSize="9" scale="80" r:id="rId1"/>
  <headerFooter alignWithMargins="0">
    <oddFooter>&amp;L&amp;9Zpracováno programem &amp;"Arial CE,Tučné"BUILDpower,  © RTS, a.s.&amp;R&amp;"Arial,Obyčejné"Strana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E55"/>
  <sheetViews>
    <sheetView workbookViewId="0" topLeftCell="A1">
      <selection activeCell="F34" sqref="A2:G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89" t="s">
        <v>126</v>
      </c>
      <c r="B1" s="188"/>
      <c r="C1" s="188"/>
      <c r="D1" s="188"/>
      <c r="E1" s="188"/>
      <c r="F1" s="188"/>
      <c r="G1" s="188"/>
    </row>
    <row r="2" spans="1:7" ht="12.75" customHeight="1">
      <c r="A2" s="1403" t="s">
        <v>125</v>
      </c>
      <c r="B2" s="1404"/>
      <c r="C2" s="1405">
        <f>'z11bR'!H1</f>
        <v>0</v>
      </c>
      <c r="D2" s="1405" t="s">
        <v>279</v>
      </c>
      <c r="E2" s="1406"/>
      <c r="F2" s="1407" t="s">
        <v>124</v>
      </c>
      <c r="G2" s="1408"/>
    </row>
    <row r="3" spans="1:7" ht="3" customHeight="1" hidden="1">
      <c r="A3" s="1409"/>
      <c r="B3" s="1410"/>
      <c r="C3" s="1411"/>
      <c r="D3" s="1411"/>
      <c r="E3" s="1412"/>
      <c r="F3" s="1413"/>
      <c r="G3" s="1414"/>
    </row>
    <row r="4" spans="1:7" ht="12" customHeight="1">
      <c r="A4" s="1415" t="s">
        <v>123</v>
      </c>
      <c r="B4" s="1410"/>
      <c r="C4" s="1411" t="s">
        <v>280</v>
      </c>
      <c r="D4" s="1411"/>
      <c r="E4" s="1412"/>
      <c r="F4" s="1413" t="s">
        <v>122</v>
      </c>
      <c r="G4" s="1416"/>
    </row>
    <row r="5" spans="1:7" ht="12.9" customHeight="1">
      <c r="A5" s="1417" t="s">
        <v>24</v>
      </c>
      <c r="B5" s="1418"/>
      <c r="C5" s="1419" t="s">
        <v>25</v>
      </c>
      <c r="D5" s="1420"/>
      <c r="E5" s="1418"/>
      <c r="F5" s="1413" t="s">
        <v>121</v>
      </c>
      <c r="G5" s="1414"/>
    </row>
    <row r="6" spans="1:15" ht="12.9" customHeight="1">
      <c r="A6" s="1415" t="s">
        <v>120</v>
      </c>
      <c r="B6" s="1410"/>
      <c r="C6" s="1411" t="s">
        <v>281</v>
      </c>
      <c r="D6" s="1411"/>
      <c r="E6" s="1412"/>
      <c r="F6" s="1413" t="s">
        <v>119</v>
      </c>
      <c r="G6" s="1421">
        <v>0</v>
      </c>
      <c r="O6" s="253"/>
    </row>
    <row r="7" spans="1:7" ht="12.9" customHeight="1">
      <c r="A7" s="1422" t="s">
        <v>12</v>
      </c>
      <c r="B7" s="1423"/>
      <c r="C7" s="1424" t="s">
        <v>13</v>
      </c>
      <c r="D7" s="1425"/>
      <c r="E7" s="1425"/>
      <c r="F7" s="1426" t="s">
        <v>118</v>
      </c>
      <c r="G7" s="1421">
        <f>IF(awervasdergfva=0,,ROUND((F30+F32)/awervasdergfva,1))</f>
        <v>0</v>
      </c>
    </row>
    <row r="8" spans="1:9" ht="12.75">
      <c r="A8" s="1427" t="s">
        <v>117</v>
      </c>
      <c r="B8" s="1413"/>
      <c r="C8" s="1701"/>
      <c r="D8" s="1701"/>
      <c r="E8" s="1702"/>
      <c r="F8" s="1428" t="s">
        <v>116</v>
      </c>
      <c r="G8" s="1429"/>
      <c r="H8" s="254"/>
      <c r="I8" s="255"/>
    </row>
    <row r="9" spans="1:8" ht="12.75">
      <c r="A9" s="1427" t="s">
        <v>115</v>
      </c>
      <c r="B9" s="1413"/>
      <c r="C9" s="1701">
        <f>nznjzukjnzj</f>
        <v>0</v>
      </c>
      <c r="D9" s="1701"/>
      <c r="E9" s="1702"/>
      <c r="F9" s="1413"/>
      <c r="G9" s="1430"/>
      <c r="H9" s="256"/>
    </row>
    <row r="10" spans="1:8" ht="12.75">
      <c r="A10" s="1427" t="s">
        <v>114</v>
      </c>
      <c r="B10" s="1413"/>
      <c r="C10" s="1701"/>
      <c r="D10" s="1701"/>
      <c r="E10" s="1701"/>
      <c r="F10" s="1413"/>
      <c r="G10" s="1431"/>
      <c r="H10" s="257"/>
    </row>
    <row r="11" spans="1:57" ht="13.5" customHeight="1">
      <c r="A11" s="1427" t="s">
        <v>113</v>
      </c>
      <c r="B11" s="1413"/>
      <c r="C11" s="1701"/>
      <c r="D11" s="1701"/>
      <c r="E11" s="1701"/>
      <c r="F11" s="1413" t="s">
        <v>112</v>
      </c>
      <c r="G11" s="1431"/>
      <c r="H11" s="256"/>
      <c r="BA11" s="258"/>
      <c r="BB11" s="258"/>
      <c r="BC11" s="258"/>
      <c r="BD11" s="258"/>
      <c r="BE11" s="258"/>
    </row>
    <row r="12" spans="1:8" ht="12.75" customHeight="1">
      <c r="A12" s="1432" t="s">
        <v>111</v>
      </c>
      <c r="B12" s="1410"/>
      <c r="C12" s="1703"/>
      <c r="D12" s="1703"/>
      <c r="E12" s="1703"/>
      <c r="F12" s="1433" t="s">
        <v>110</v>
      </c>
      <c r="G12" s="1434"/>
      <c r="H12" s="256"/>
    </row>
    <row r="13" spans="1:8" ht="28.5" customHeight="1" thickBot="1">
      <c r="A13" s="1435" t="s">
        <v>109</v>
      </c>
      <c r="B13" s="1436"/>
      <c r="C13" s="1436"/>
      <c r="D13" s="1436"/>
      <c r="E13" s="1437"/>
      <c r="F13" s="1437"/>
      <c r="G13" s="1438"/>
      <c r="H13" s="256"/>
    </row>
    <row r="14" spans="1:7" ht="17.25" customHeight="1" thickBot="1">
      <c r="A14" s="1439" t="s">
        <v>108</v>
      </c>
      <c r="B14" s="1440"/>
      <c r="C14" s="1441"/>
      <c r="D14" s="1442" t="s">
        <v>107</v>
      </c>
      <c r="E14" s="1443"/>
      <c r="F14" s="1443"/>
      <c r="G14" s="1441"/>
    </row>
    <row r="15" spans="1:7" ht="15.9" customHeight="1">
      <c r="A15" s="1444"/>
      <c r="B15" s="1445" t="s">
        <v>106</v>
      </c>
      <c r="C15" s="1446">
        <f>zýimlozk</f>
        <v>0</v>
      </c>
      <c r="D15" s="1447" t="str">
        <f>'z11bR'!A20</f>
        <v>Ztížené výrobní podmínky</v>
      </c>
      <c r="E15" s="1448"/>
      <c r="F15" s="1449"/>
      <c r="G15" s="1446">
        <f>'z11bR'!I20</f>
        <v>0</v>
      </c>
    </row>
    <row r="16" spans="1:7" ht="15.9" customHeight="1">
      <c r="A16" s="1444" t="s">
        <v>105</v>
      </c>
      <c r="B16" s="1445" t="s">
        <v>104</v>
      </c>
      <c r="C16" s="1446">
        <f>astaertgb</f>
        <v>0</v>
      </c>
      <c r="D16" s="1409" t="str">
        <f>'z11bR'!A21</f>
        <v>Oborová přirážka</v>
      </c>
      <c r="E16" s="1450"/>
      <c r="F16" s="1451"/>
      <c r="G16" s="1446">
        <f>'z11bR'!I21</f>
        <v>0</v>
      </c>
    </row>
    <row r="17" spans="1:7" ht="15.9" customHeight="1">
      <c r="A17" s="1444" t="s">
        <v>103</v>
      </c>
      <c r="B17" s="1445" t="s">
        <v>102</v>
      </c>
      <c r="C17" s="1446">
        <f>yqwercaw</f>
        <v>0</v>
      </c>
      <c r="D17" s="1409" t="str">
        <f>'z11bR'!A22</f>
        <v>Přesun stavebních kapacit</v>
      </c>
      <c r="E17" s="1450"/>
      <c r="F17" s="1451"/>
      <c r="G17" s="1446">
        <f>'z11bR'!I22</f>
        <v>0</v>
      </c>
    </row>
    <row r="18" spans="1:7" ht="15.9" customHeight="1">
      <c r="A18" s="1452" t="s">
        <v>101</v>
      </c>
      <c r="B18" s="1453" t="s">
        <v>100</v>
      </c>
      <c r="C18" s="1446">
        <f>awervawefa</f>
        <v>0</v>
      </c>
      <c r="D18" s="1409" t="str">
        <f>'z11bR'!A23</f>
        <v>Mimostaveništní doprava</v>
      </c>
      <c r="E18" s="1450"/>
      <c r="F18" s="1451"/>
      <c r="G18" s="1446">
        <f>'z11bR'!I23</f>
        <v>0</v>
      </c>
    </row>
    <row r="19" spans="1:7" ht="15.9" customHeight="1">
      <c r="A19" s="1454" t="s">
        <v>99</v>
      </c>
      <c r="B19" s="1445"/>
      <c r="C19" s="1446">
        <f>SUM(C15:C18)</f>
        <v>0</v>
      </c>
      <c r="D19" s="1409" t="str">
        <f>'z11bR'!A24</f>
        <v>Zařízení staveniště</v>
      </c>
      <c r="E19" s="1450"/>
      <c r="F19" s="1451"/>
      <c r="G19" s="1446">
        <f>'z11bR'!I24</f>
        <v>0</v>
      </c>
    </row>
    <row r="20" spans="1:7" ht="15.9" customHeight="1">
      <c r="A20" s="1454"/>
      <c r="B20" s="1445"/>
      <c r="C20" s="1446"/>
      <c r="D20" s="1409" t="str">
        <f>'z11bR'!A25</f>
        <v>Provoz investora</v>
      </c>
      <c r="E20" s="1450"/>
      <c r="F20" s="1451"/>
      <c r="G20" s="1446">
        <f>'z11bR'!I25</f>
        <v>0</v>
      </c>
    </row>
    <row r="21" spans="1:7" ht="15.9" customHeight="1">
      <c r="A21" s="1454" t="s">
        <v>70</v>
      </c>
      <c r="B21" s="1445"/>
      <c r="C21" s="1446">
        <f>qwxqvsdavf</f>
        <v>0</v>
      </c>
      <c r="D21" s="1409" t="str">
        <f>'z11bR'!A26</f>
        <v>Kompletační činnost (IČD)</v>
      </c>
      <c r="E21" s="1450"/>
      <c r="F21" s="1451"/>
      <c r="G21" s="1446">
        <f>'z11bR'!I26</f>
        <v>0</v>
      </c>
    </row>
    <row r="22" spans="1:7" ht="15.9" customHeight="1">
      <c r="A22" s="1455" t="s">
        <v>98</v>
      </c>
      <c r="B22" s="1456"/>
      <c r="C22" s="1446">
        <f>C19+C21</f>
        <v>0</v>
      </c>
      <c r="D22" s="1409" t="s">
        <v>97</v>
      </c>
      <c r="E22" s="1450"/>
      <c r="F22" s="1451"/>
      <c r="G22" s="1446">
        <f>G23-SUM(G15:G21)</f>
        <v>0</v>
      </c>
    </row>
    <row r="23" spans="1:7" ht="15.9" customHeight="1" thickBot="1">
      <c r="A23" s="1704" t="s">
        <v>96</v>
      </c>
      <c r="B23" s="1705"/>
      <c r="C23" s="1457">
        <f>C22+G23</f>
        <v>0</v>
      </c>
      <c r="D23" s="1458" t="s">
        <v>95</v>
      </c>
      <c r="E23" s="1459"/>
      <c r="F23" s="1460"/>
      <c r="G23" s="1446">
        <f>asdfw</f>
        <v>0</v>
      </c>
    </row>
    <row r="24" spans="1:7" ht="12.75">
      <c r="A24" s="1461" t="s">
        <v>94</v>
      </c>
      <c r="B24" s="1462"/>
      <c r="C24" s="1463"/>
      <c r="D24" s="1462" t="s">
        <v>93</v>
      </c>
      <c r="E24" s="1462"/>
      <c r="F24" s="1464" t="s">
        <v>92</v>
      </c>
      <c r="G24" s="1465"/>
    </row>
    <row r="25" spans="1:7" ht="12.75">
      <c r="A25" s="1455" t="s">
        <v>91</v>
      </c>
      <c r="B25" s="1456"/>
      <c r="C25" s="1466"/>
      <c r="D25" s="1456" t="s">
        <v>91</v>
      </c>
      <c r="E25" s="1467"/>
      <c r="F25" s="1468" t="s">
        <v>91</v>
      </c>
      <c r="G25" s="1469"/>
    </row>
    <row r="26" spans="1:7" ht="37.5" customHeight="1">
      <c r="A26" s="1455" t="s">
        <v>90</v>
      </c>
      <c r="B26" s="1470"/>
      <c r="C26" s="1466"/>
      <c r="D26" s="1456" t="s">
        <v>90</v>
      </c>
      <c r="E26" s="1467"/>
      <c r="F26" s="1468" t="s">
        <v>90</v>
      </c>
      <c r="G26" s="1469"/>
    </row>
    <row r="27" spans="1:7" ht="12.75">
      <c r="A27" s="1455"/>
      <c r="B27" s="1471"/>
      <c r="C27" s="1466"/>
      <c r="D27" s="1456"/>
      <c r="E27" s="1467"/>
      <c r="F27" s="1468"/>
      <c r="G27" s="1469"/>
    </row>
    <row r="28" spans="1:7" ht="12.75">
      <c r="A28" s="1455" t="s">
        <v>89</v>
      </c>
      <c r="B28" s="1456"/>
      <c r="C28" s="1466"/>
      <c r="D28" s="1468" t="s">
        <v>88</v>
      </c>
      <c r="E28" s="1466"/>
      <c r="F28" s="1456" t="s">
        <v>88</v>
      </c>
      <c r="G28" s="1469"/>
    </row>
    <row r="29" spans="1:7" ht="69" customHeight="1">
      <c r="A29" s="1455"/>
      <c r="B29" s="1456"/>
      <c r="C29" s="1472"/>
      <c r="D29" s="1473"/>
      <c r="E29" s="1472"/>
      <c r="F29" s="1456"/>
      <c r="G29" s="1469"/>
    </row>
    <row r="30" spans="1:7" ht="12.75">
      <c r="A30" s="1474" t="s">
        <v>8</v>
      </c>
      <c r="B30" s="1475"/>
      <c r="C30" s="1476">
        <v>21</v>
      </c>
      <c r="D30" s="1475" t="s">
        <v>87</v>
      </c>
      <c r="E30" s="1477"/>
      <c r="F30" s="1706">
        <f>C23-F32</f>
        <v>0</v>
      </c>
      <c r="G30" s="1707"/>
    </row>
    <row r="31" spans="1:7" ht="12.75">
      <c r="A31" s="1474" t="s">
        <v>86</v>
      </c>
      <c r="B31" s="1475"/>
      <c r="C31" s="1476">
        <f>poiutr</f>
        <v>21</v>
      </c>
      <c r="D31" s="1475" t="s">
        <v>85</v>
      </c>
      <c r="E31" s="1477"/>
      <c r="F31" s="1706">
        <f>ROUND(PRODUCT(F30,C31/100),0)</f>
        <v>0</v>
      </c>
      <c r="G31" s="1707"/>
    </row>
    <row r="32" spans="1:7" ht="12.75">
      <c r="A32" s="1474" t="s">
        <v>8</v>
      </c>
      <c r="B32" s="1475"/>
      <c r="C32" s="1476">
        <v>0</v>
      </c>
      <c r="D32" s="1475" t="s">
        <v>85</v>
      </c>
      <c r="E32" s="1477"/>
      <c r="F32" s="1706">
        <v>0</v>
      </c>
      <c r="G32" s="1707"/>
    </row>
    <row r="33" spans="1:7" ht="12.75">
      <c r="A33" s="1474" t="s">
        <v>86</v>
      </c>
      <c r="B33" s="1478"/>
      <c r="C33" s="1479">
        <f>asdfbg</f>
        <v>0</v>
      </c>
      <c r="D33" s="1475" t="s">
        <v>85</v>
      </c>
      <c r="E33" s="1451"/>
      <c r="F33" s="1706">
        <f>ROUND(PRODUCT(F32,C33/100),0)</f>
        <v>0</v>
      </c>
      <c r="G33" s="1707"/>
    </row>
    <row r="34" spans="1:7" s="259" customFormat="1" ht="19.5" customHeight="1" thickBot="1">
      <c r="A34" s="1480" t="s">
        <v>84</v>
      </c>
      <c r="B34" s="1481"/>
      <c r="C34" s="1481"/>
      <c r="D34" s="1481"/>
      <c r="E34" s="1482"/>
      <c r="F34" s="1708">
        <f>ROUND(SUM(F30:F33),0)</f>
        <v>0</v>
      </c>
      <c r="G34" s="1709"/>
    </row>
    <row r="36" spans="1:8" ht="12.75">
      <c r="A36" s="260" t="s">
        <v>83</v>
      </c>
      <c r="B36" s="260"/>
      <c r="C36" s="260"/>
      <c r="D36" s="260"/>
      <c r="E36" s="260"/>
      <c r="F36" s="260"/>
      <c r="G36" s="260"/>
      <c r="H36" t="s">
        <v>1</v>
      </c>
    </row>
    <row r="37" spans="1:8" ht="14.25" customHeight="1">
      <c r="A37" s="260"/>
      <c r="B37" s="1599"/>
      <c r="C37" s="1599"/>
      <c r="D37" s="1599"/>
      <c r="E37" s="1599"/>
      <c r="F37" s="1599"/>
      <c r="G37" s="1599"/>
      <c r="H37" t="s">
        <v>1</v>
      </c>
    </row>
    <row r="38" spans="1:8" ht="12.75" customHeight="1">
      <c r="A38" s="261"/>
      <c r="B38" s="1599"/>
      <c r="C38" s="1599"/>
      <c r="D38" s="1599"/>
      <c r="E38" s="1599"/>
      <c r="F38" s="1599"/>
      <c r="G38" s="1599"/>
      <c r="H38" t="s">
        <v>1</v>
      </c>
    </row>
    <row r="39" spans="1:8" ht="12.75">
      <c r="A39" s="261"/>
      <c r="B39" s="1599"/>
      <c r="C39" s="1599"/>
      <c r="D39" s="1599"/>
      <c r="E39" s="1599"/>
      <c r="F39" s="1599"/>
      <c r="G39" s="1599"/>
      <c r="H39" t="s">
        <v>1</v>
      </c>
    </row>
    <row r="40" spans="1:8" ht="12.75">
      <c r="A40" s="261"/>
      <c r="B40" s="1599"/>
      <c r="C40" s="1599"/>
      <c r="D40" s="1599"/>
      <c r="E40" s="1599"/>
      <c r="F40" s="1599"/>
      <c r="G40" s="1599"/>
      <c r="H40" t="s">
        <v>1</v>
      </c>
    </row>
    <row r="41" spans="1:8" ht="12.75">
      <c r="A41" s="261"/>
      <c r="B41" s="1599"/>
      <c r="C41" s="1599"/>
      <c r="D41" s="1599"/>
      <c r="E41" s="1599"/>
      <c r="F41" s="1599"/>
      <c r="G41" s="1599"/>
      <c r="H41" t="s">
        <v>1</v>
      </c>
    </row>
    <row r="42" spans="1:8" ht="12.75">
      <c r="A42" s="261"/>
      <c r="B42" s="1599"/>
      <c r="C42" s="1599"/>
      <c r="D42" s="1599"/>
      <c r="E42" s="1599"/>
      <c r="F42" s="1599"/>
      <c r="G42" s="1599"/>
      <c r="H42" t="s">
        <v>1</v>
      </c>
    </row>
    <row r="43" spans="1:8" ht="12.75">
      <c r="A43" s="261"/>
      <c r="B43" s="1599"/>
      <c r="C43" s="1599"/>
      <c r="D43" s="1599"/>
      <c r="E43" s="1599"/>
      <c r="F43" s="1599"/>
      <c r="G43" s="1599"/>
      <c r="H43" t="s">
        <v>1</v>
      </c>
    </row>
    <row r="44" spans="1:8" ht="12.75">
      <c r="A44" s="261"/>
      <c r="B44" s="1599"/>
      <c r="C44" s="1599"/>
      <c r="D44" s="1599"/>
      <c r="E44" s="1599"/>
      <c r="F44" s="1599"/>
      <c r="G44" s="1599"/>
      <c r="H44" t="s">
        <v>1</v>
      </c>
    </row>
    <row r="45" spans="1:8" ht="0.75" customHeight="1">
      <c r="A45" s="261"/>
      <c r="B45" s="1599"/>
      <c r="C45" s="1599"/>
      <c r="D45" s="1599"/>
      <c r="E45" s="1599"/>
      <c r="F45" s="1599"/>
      <c r="G45" s="1599"/>
      <c r="H45" t="s">
        <v>1</v>
      </c>
    </row>
    <row r="46" spans="2:7" ht="12.75">
      <c r="B46" s="1600"/>
      <c r="C46" s="1600"/>
      <c r="D46" s="1600"/>
      <c r="E46" s="1600"/>
      <c r="F46" s="1600"/>
      <c r="G46" s="1600"/>
    </row>
    <row r="47" spans="2:7" ht="12.75">
      <c r="B47" s="1600"/>
      <c r="C47" s="1600"/>
      <c r="D47" s="1600"/>
      <c r="E47" s="1600"/>
      <c r="F47" s="1600"/>
      <c r="G47" s="1600"/>
    </row>
    <row r="48" spans="2:7" ht="12.75">
      <c r="B48" s="1600"/>
      <c r="C48" s="1600"/>
      <c r="D48" s="1600"/>
      <c r="E48" s="1600"/>
      <c r="F48" s="1600"/>
      <c r="G48" s="1600"/>
    </row>
    <row r="49" spans="2:7" ht="12.75">
      <c r="B49" s="1600"/>
      <c r="C49" s="1600"/>
      <c r="D49" s="1600"/>
      <c r="E49" s="1600"/>
      <c r="F49" s="1600"/>
      <c r="G49" s="1600"/>
    </row>
    <row r="50" spans="2:7" ht="12.75">
      <c r="B50" s="1600"/>
      <c r="C50" s="1600"/>
      <c r="D50" s="1600"/>
      <c r="E50" s="1600"/>
      <c r="F50" s="1600"/>
      <c r="G50" s="1600"/>
    </row>
    <row r="51" spans="2:7" ht="12.75">
      <c r="B51" s="1600"/>
      <c r="C51" s="1600"/>
      <c r="D51" s="1600"/>
      <c r="E51" s="1600"/>
      <c r="F51" s="1600"/>
      <c r="G51" s="1600"/>
    </row>
    <row r="52" spans="2:7" ht="12.75">
      <c r="B52" s="1600"/>
      <c r="C52" s="1600"/>
      <c r="D52" s="1600"/>
      <c r="E52" s="1600"/>
      <c r="F52" s="1600"/>
      <c r="G52" s="1600"/>
    </row>
    <row r="53" spans="2:7" ht="12.75">
      <c r="B53" s="1600"/>
      <c r="C53" s="1600"/>
      <c r="D53" s="1600"/>
      <c r="E53" s="1600"/>
      <c r="F53" s="1600"/>
      <c r="G53" s="1600"/>
    </row>
    <row r="54" spans="2:7" ht="12.75">
      <c r="B54" s="1600"/>
      <c r="C54" s="1600"/>
      <c r="D54" s="1600"/>
      <c r="E54" s="1600"/>
      <c r="F54" s="1600"/>
      <c r="G54" s="1600"/>
    </row>
    <row r="55" spans="2:7" ht="12.75">
      <c r="B55" s="1600"/>
      <c r="C55" s="1600"/>
      <c r="D55" s="1600"/>
      <c r="E55" s="1600"/>
      <c r="F55" s="1600"/>
      <c r="G55" s="1600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E79"/>
  <sheetViews>
    <sheetView workbookViewId="0" topLeftCell="A1">
      <selection activeCell="I44" sqref="I4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579" t="s">
        <v>2</v>
      </c>
      <c r="B1" s="1580"/>
      <c r="C1" s="102" t="str">
        <f>CONCATENATE(certsedrtga," ",znuiuuik)</f>
        <v>2013/88 Lednice zahrady</v>
      </c>
      <c r="D1" s="100"/>
      <c r="E1" s="101"/>
      <c r="F1" s="100"/>
      <c r="G1" s="99" t="s">
        <v>81</v>
      </c>
      <c r="H1" s="98"/>
      <c r="I1" s="97"/>
    </row>
    <row r="2" spans="1:9" ht="13.8" thickBot="1">
      <c r="A2" s="1581" t="s">
        <v>79</v>
      </c>
      <c r="B2" s="1582"/>
      <c r="C2" s="96" t="str">
        <f>CONCATENATE(etvaetrva," ",caewtabert)</f>
        <v>11b Čerpací stanice</v>
      </c>
      <c r="D2" s="94"/>
      <c r="E2" s="95"/>
      <c r="F2" s="94"/>
      <c r="G2" s="1583" t="s">
        <v>2358</v>
      </c>
      <c r="H2" s="1584"/>
      <c r="I2" s="1585"/>
    </row>
    <row r="3" spans="1:9" ht="13.8" thickTop="1">
      <c r="A3" s="1"/>
      <c r="B3" s="1"/>
      <c r="C3" s="1"/>
      <c r="D3" s="1"/>
      <c r="E3" s="1"/>
      <c r="F3" s="74"/>
      <c r="G3" s="1"/>
      <c r="H3" s="1"/>
      <c r="I3" s="1"/>
    </row>
    <row r="4" spans="1:9" ht="19.5" customHeight="1">
      <c r="A4" s="93" t="s">
        <v>76</v>
      </c>
      <c r="B4" s="72"/>
      <c r="C4" s="72"/>
      <c r="D4" s="72"/>
      <c r="E4" s="92"/>
      <c r="F4" s="72"/>
      <c r="G4" s="72"/>
      <c r="H4" s="72"/>
      <c r="I4" s="72"/>
    </row>
    <row r="5" spans="1:9" ht="13.8" thickBot="1">
      <c r="A5" s="1"/>
      <c r="B5" s="1"/>
      <c r="C5" s="1"/>
      <c r="D5" s="1"/>
      <c r="E5" s="1"/>
      <c r="F5" s="1"/>
      <c r="G5" s="1"/>
      <c r="H5" s="1"/>
      <c r="I5" s="1"/>
    </row>
    <row r="6" spans="1:9" s="256" customFormat="1" ht="13.8" thickBot="1">
      <c r="A6" s="1483"/>
      <c r="B6" s="1484" t="s">
        <v>75</v>
      </c>
      <c r="C6" s="1484"/>
      <c r="D6" s="1485"/>
      <c r="E6" s="1486" t="s">
        <v>74</v>
      </c>
      <c r="F6" s="1487" t="s">
        <v>73</v>
      </c>
      <c r="G6" s="1487" t="s">
        <v>72</v>
      </c>
      <c r="H6" s="1487" t="s">
        <v>71</v>
      </c>
      <c r="I6" s="1488" t="s">
        <v>70</v>
      </c>
    </row>
    <row r="7" spans="1:9" s="256" customFormat="1" ht="12.75">
      <c r="A7" s="1489" t="str">
        <f>'z11bP'!B7</f>
        <v>1</v>
      </c>
      <c r="B7" s="1490" t="str">
        <f>'z11bP'!C7</f>
        <v>Zemní práce</v>
      </c>
      <c r="C7" s="1491"/>
      <c r="D7" s="1492"/>
      <c r="E7" s="1493">
        <f>'z11bP'!BA16</f>
        <v>0</v>
      </c>
      <c r="F7" s="1494">
        <f>'z11bP'!BB16</f>
        <v>0</v>
      </c>
      <c r="G7" s="1494">
        <f>'z11bP'!BC16</f>
        <v>0</v>
      </c>
      <c r="H7" s="1494">
        <f>'z11bP'!BD16</f>
        <v>0</v>
      </c>
      <c r="I7" s="1495">
        <f>'z11bP'!BE16</f>
        <v>0</v>
      </c>
    </row>
    <row r="8" spans="1:9" s="256" customFormat="1" ht="12.75">
      <c r="A8" s="1489" t="str">
        <f>'z11bP'!B17</f>
        <v>2</v>
      </c>
      <c r="B8" s="1490" t="str">
        <f>'z11bP'!C17</f>
        <v>Základy a zvláštní zakládání</v>
      </c>
      <c r="C8" s="1491"/>
      <c r="D8" s="1492"/>
      <c r="E8" s="1493">
        <f>'z11bP'!BA28</f>
        <v>0</v>
      </c>
      <c r="F8" s="1494">
        <f>'z11bP'!BB28</f>
        <v>0</v>
      </c>
      <c r="G8" s="1494">
        <f>'z11bP'!BC28</f>
        <v>0</v>
      </c>
      <c r="H8" s="1494">
        <f>'z11bP'!BD28</f>
        <v>0</v>
      </c>
      <c r="I8" s="1495">
        <f>'z11bP'!BE28</f>
        <v>0</v>
      </c>
    </row>
    <row r="9" spans="1:9" s="256" customFormat="1" ht="12.75">
      <c r="A9" s="1489" t="str">
        <f>'z11bP'!B29</f>
        <v>3</v>
      </c>
      <c r="B9" s="1490" t="str">
        <f>'z11bP'!C29</f>
        <v>Svislé a kompletní konstrukce</v>
      </c>
      <c r="C9" s="1491"/>
      <c r="D9" s="1492"/>
      <c r="E9" s="1493">
        <f>'z11bP'!BA37</f>
        <v>0</v>
      </c>
      <c r="F9" s="1494">
        <f>'z11bP'!BB37</f>
        <v>0</v>
      </c>
      <c r="G9" s="1494">
        <f>'z11bP'!BC37</f>
        <v>0</v>
      </c>
      <c r="H9" s="1494">
        <f>'z11bP'!BD37</f>
        <v>0</v>
      </c>
      <c r="I9" s="1495">
        <f>'z11bP'!BE37</f>
        <v>0</v>
      </c>
    </row>
    <row r="10" spans="1:9" s="256" customFormat="1" ht="12.75">
      <c r="A10" s="1489" t="str">
        <f>'z11bP'!B38</f>
        <v>4</v>
      </c>
      <c r="B10" s="1490" t="str">
        <f>'z11bP'!C38</f>
        <v>Vodorovné konstrukce</v>
      </c>
      <c r="C10" s="1491"/>
      <c r="D10" s="1492"/>
      <c r="E10" s="1493">
        <f>'z11bP'!BA41</f>
        <v>0</v>
      </c>
      <c r="F10" s="1494">
        <f>'z11bP'!BB41</f>
        <v>0</v>
      </c>
      <c r="G10" s="1494">
        <f>'z11bP'!BC41</f>
        <v>0</v>
      </c>
      <c r="H10" s="1494">
        <f>'z11bP'!BD41</f>
        <v>0</v>
      </c>
      <c r="I10" s="1495">
        <f>'z11bP'!BE41</f>
        <v>0</v>
      </c>
    </row>
    <row r="11" spans="1:9" s="256" customFormat="1" ht="12.75">
      <c r="A11" s="1489" t="str">
        <f>'z11bP'!B42</f>
        <v>63</v>
      </c>
      <c r="B11" s="1490" t="str">
        <f>'z11bP'!C42</f>
        <v>Podlahy a podlahové konstrukce</v>
      </c>
      <c r="C11" s="1491"/>
      <c r="D11" s="1492"/>
      <c r="E11" s="1493">
        <f>'z11bP'!BA46</f>
        <v>0</v>
      </c>
      <c r="F11" s="1494">
        <f>'z11bP'!BB46</f>
        <v>0</v>
      </c>
      <c r="G11" s="1494">
        <f>'z11bP'!BC46</f>
        <v>0</v>
      </c>
      <c r="H11" s="1494">
        <f>'z11bP'!BD46</f>
        <v>0</v>
      </c>
      <c r="I11" s="1495">
        <f>'z11bP'!BE46</f>
        <v>0</v>
      </c>
    </row>
    <row r="12" spans="1:9" s="256" customFormat="1" ht="12.75">
      <c r="A12" s="1489" t="str">
        <f>'z11bP'!B47</f>
        <v>97</v>
      </c>
      <c r="B12" s="1490" t="str">
        <f>'z11bP'!C47</f>
        <v>Prorážení otvorů</v>
      </c>
      <c r="C12" s="1491"/>
      <c r="D12" s="1492"/>
      <c r="E12" s="1493">
        <f>'z11bP'!BA51</f>
        <v>0</v>
      </c>
      <c r="F12" s="1494">
        <f>'z11bP'!BB51</f>
        <v>0</v>
      </c>
      <c r="G12" s="1494">
        <f>'z11bP'!BC51</f>
        <v>0</v>
      </c>
      <c r="H12" s="1494">
        <f>'z11bP'!BD51</f>
        <v>0</v>
      </c>
      <c r="I12" s="1495">
        <f>'z11bP'!BE51</f>
        <v>0</v>
      </c>
    </row>
    <row r="13" spans="1:9" s="256" customFormat="1" ht="12.75">
      <c r="A13" s="1489" t="str">
        <f>'z11bP'!B52</f>
        <v>99</v>
      </c>
      <c r="B13" s="1490" t="str">
        <f>'z11bP'!C52</f>
        <v>Staveništní přesun hmot</v>
      </c>
      <c r="C13" s="1491"/>
      <c r="D13" s="1492"/>
      <c r="E13" s="1493">
        <f>'z11bP'!BA54</f>
        <v>0</v>
      </c>
      <c r="F13" s="1494">
        <f>'z11bP'!BB54</f>
        <v>0</v>
      </c>
      <c r="G13" s="1494">
        <f>'z11bP'!BC54</f>
        <v>0</v>
      </c>
      <c r="H13" s="1494">
        <f>'z11bP'!BD54</f>
        <v>0</v>
      </c>
      <c r="I13" s="1495">
        <f>'z11bP'!BE54</f>
        <v>0</v>
      </c>
    </row>
    <row r="14" spans="1:9" s="256" customFormat="1" ht="13.8" thickBot="1">
      <c r="A14" s="1489" t="str">
        <f>'z11bP'!B55</f>
        <v>711</v>
      </c>
      <c r="B14" s="1490" t="str">
        <f>'z11bP'!C55</f>
        <v>Izolace proti vodě</v>
      </c>
      <c r="C14" s="1491"/>
      <c r="D14" s="1492"/>
      <c r="E14" s="1493">
        <f>'z11bP'!BA64</f>
        <v>0</v>
      </c>
      <c r="F14" s="1494">
        <f>'z11bP'!BB64</f>
        <v>0</v>
      </c>
      <c r="G14" s="1494">
        <f>'z11bP'!BC64</f>
        <v>0</v>
      </c>
      <c r="H14" s="1494">
        <f>'z11bP'!BD64</f>
        <v>0</v>
      </c>
      <c r="I14" s="1495">
        <f>'z11bP'!BE64</f>
        <v>0</v>
      </c>
    </row>
    <row r="15" spans="1:9" s="262" customFormat="1" ht="13.8" thickBot="1">
      <c r="A15" s="1496"/>
      <c r="B15" s="1497" t="s">
        <v>69</v>
      </c>
      <c r="C15" s="1497"/>
      <c r="D15" s="1498"/>
      <c r="E15" s="1499">
        <f>SUM(E7:E14)</f>
        <v>0</v>
      </c>
      <c r="F15" s="1500">
        <f>SUM(F7:F14)</f>
        <v>0</v>
      </c>
      <c r="G15" s="1500">
        <f>SUM(G7:G14)</f>
        <v>0</v>
      </c>
      <c r="H15" s="1500">
        <f>SUM(H7:H14)</f>
        <v>0</v>
      </c>
      <c r="I15" s="1501">
        <f>SUM(I7:I14)</f>
        <v>0</v>
      </c>
    </row>
    <row r="16" spans="1:9" ht="12.75">
      <c r="A16" s="74"/>
      <c r="B16" s="74"/>
      <c r="C16" s="74"/>
      <c r="D16" s="74"/>
      <c r="E16" s="74"/>
      <c r="F16" s="74"/>
      <c r="G16" s="74"/>
      <c r="H16" s="74"/>
      <c r="I16" s="74"/>
    </row>
    <row r="17" spans="1:57" ht="19.5" customHeight="1">
      <c r="A17" s="72" t="s">
        <v>68</v>
      </c>
      <c r="B17" s="72"/>
      <c r="C17" s="72"/>
      <c r="D17" s="72"/>
      <c r="E17" s="72"/>
      <c r="F17" s="72"/>
      <c r="G17" s="73"/>
      <c r="H17" s="72"/>
      <c r="I17" s="72"/>
      <c r="BA17" s="258"/>
      <c r="BB17" s="258"/>
      <c r="BC17" s="258"/>
      <c r="BD17" s="258"/>
      <c r="BE17" s="258"/>
    </row>
    <row r="18" spans="1:9" ht="13.8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502" t="s">
        <v>67</v>
      </c>
      <c r="B19" s="1503"/>
      <c r="C19" s="1503"/>
      <c r="D19" s="1504"/>
      <c r="E19" s="1505" t="s">
        <v>65</v>
      </c>
      <c r="F19" s="1506" t="s">
        <v>9</v>
      </c>
      <c r="G19" s="1507" t="s">
        <v>66</v>
      </c>
      <c r="H19" s="1508"/>
      <c r="I19" s="1509" t="s">
        <v>65</v>
      </c>
    </row>
    <row r="20" spans="1:53" ht="12.75">
      <c r="A20" s="1510" t="s">
        <v>64</v>
      </c>
      <c r="B20" s="1511"/>
      <c r="C20" s="1511"/>
      <c r="D20" s="1512"/>
      <c r="E20" s="1513">
        <v>0</v>
      </c>
      <c r="F20" s="1514">
        <v>0</v>
      </c>
      <c r="G20" s="1515">
        <f aca="true" t="shared" si="0" ref="G20:G27">CHOOSE(BA20+1,zýimlozk+astaertgb,zýimlozk+astaertgb+yqwercaw,zýimlozk+astaertgb+awervawefa+yqwercaw,zýimlozk,astaertgb,yqwercaw,awervawefa,yqwercaw+awervawefa,0)</f>
        <v>0</v>
      </c>
      <c r="H20" s="1516"/>
      <c r="I20" s="1517">
        <f aca="true" t="shared" si="1" ref="I20:I27">E20+F20*G20/100</f>
        <v>0</v>
      </c>
      <c r="BA20">
        <v>0</v>
      </c>
    </row>
    <row r="21" spans="1:53" ht="12.75">
      <c r="A21" s="1510" t="s">
        <v>63</v>
      </c>
      <c r="B21" s="1511"/>
      <c r="C21" s="1511"/>
      <c r="D21" s="1512"/>
      <c r="E21" s="1513">
        <v>0</v>
      </c>
      <c r="F21" s="1514">
        <v>0</v>
      </c>
      <c r="G21" s="1515">
        <f t="shared" si="0"/>
        <v>0</v>
      </c>
      <c r="H21" s="1516"/>
      <c r="I21" s="1517">
        <f t="shared" si="1"/>
        <v>0</v>
      </c>
      <c r="BA21">
        <v>0</v>
      </c>
    </row>
    <row r="22" spans="1:53" ht="12.75">
      <c r="A22" s="1510" t="s">
        <v>62</v>
      </c>
      <c r="B22" s="1511"/>
      <c r="C22" s="1511"/>
      <c r="D22" s="1512"/>
      <c r="E22" s="1513">
        <v>0</v>
      </c>
      <c r="F22" s="1514">
        <v>0</v>
      </c>
      <c r="G22" s="1515">
        <f t="shared" si="0"/>
        <v>0</v>
      </c>
      <c r="H22" s="1516"/>
      <c r="I22" s="1517">
        <f t="shared" si="1"/>
        <v>0</v>
      </c>
      <c r="BA22">
        <v>0</v>
      </c>
    </row>
    <row r="23" spans="1:53" ht="12.75">
      <c r="A23" s="1510" t="s">
        <v>61</v>
      </c>
      <c r="B23" s="1511"/>
      <c r="C23" s="1511"/>
      <c r="D23" s="1512"/>
      <c r="E23" s="1513">
        <v>0</v>
      </c>
      <c r="F23" s="1514">
        <v>0</v>
      </c>
      <c r="G23" s="1515">
        <f t="shared" si="0"/>
        <v>0</v>
      </c>
      <c r="H23" s="1516"/>
      <c r="I23" s="1517">
        <f t="shared" si="1"/>
        <v>0</v>
      </c>
      <c r="BA23">
        <v>0</v>
      </c>
    </row>
    <row r="24" spans="1:53" ht="12.75">
      <c r="A24" s="1510" t="s">
        <v>60</v>
      </c>
      <c r="B24" s="1511"/>
      <c r="C24" s="1511"/>
      <c r="D24" s="1512"/>
      <c r="E24" s="1513">
        <v>0</v>
      </c>
      <c r="F24" s="1514">
        <v>3</v>
      </c>
      <c r="G24" s="1515">
        <f t="shared" si="0"/>
        <v>0</v>
      </c>
      <c r="H24" s="1516"/>
      <c r="I24" s="1517">
        <f t="shared" si="1"/>
        <v>0</v>
      </c>
      <c r="BA24">
        <v>1</v>
      </c>
    </row>
    <row r="25" spans="1:53" ht="12.75">
      <c r="A25" s="1510" t="s">
        <v>59</v>
      </c>
      <c r="B25" s="1511"/>
      <c r="C25" s="1511"/>
      <c r="D25" s="1512"/>
      <c r="E25" s="1513">
        <v>0</v>
      </c>
      <c r="F25" s="1514">
        <v>0</v>
      </c>
      <c r="G25" s="1515">
        <f t="shared" si="0"/>
        <v>0</v>
      </c>
      <c r="H25" s="1516"/>
      <c r="I25" s="1517">
        <f t="shared" si="1"/>
        <v>0</v>
      </c>
      <c r="BA25">
        <v>1</v>
      </c>
    </row>
    <row r="26" spans="1:53" ht="12.75">
      <c r="A26" s="1510" t="s">
        <v>58</v>
      </c>
      <c r="B26" s="1511"/>
      <c r="C26" s="1511"/>
      <c r="D26" s="1512"/>
      <c r="E26" s="1513">
        <v>0</v>
      </c>
      <c r="F26" s="1514">
        <v>1.2</v>
      </c>
      <c r="G26" s="1515">
        <f t="shared" si="0"/>
        <v>0</v>
      </c>
      <c r="H26" s="1516"/>
      <c r="I26" s="1517">
        <f t="shared" si="1"/>
        <v>0</v>
      </c>
      <c r="BA26">
        <v>2</v>
      </c>
    </row>
    <row r="27" spans="1:53" ht="12.75">
      <c r="A27" s="1510" t="s">
        <v>41</v>
      </c>
      <c r="B27" s="1511"/>
      <c r="C27" s="1511"/>
      <c r="D27" s="1512"/>
      <c r="E27" s="1513">
        <v>0</v>
      </c>
      <c r="F27" s="1514">
        <v>0</v>
      </c>
      <c r="G27" s="1515">
        <f t="shared" si="0"/>
        <v>0</v>
      </c>
      <c r="H27" s="1516"/>
      <c r="I27" s="1517">
        <f t="shared" si="1"/>
        <v>0</v>
      </c>
      <c r="BA27">
        <v>2</v>
      </c>
    </row>
    <row r="28" spans="1:9" ht="13.8" thickBot="1">
      <c r="A28" s="1518"/>
      <c r="B28" s="1519" t="s">
        <v>57</v>
      </c>
      <c r="C28" s="1520"/>
      <c r="D28" s="1521"/>
      <c r="E28" s="1522"/>
      <c r="F28" s="1523"/>
      <c r="G28" s="1523"/>
      <c r="H28" s="1710">
        <f>SUM(I20:I27)</f>
        <v>0</v>
      </c>
      <c r="I28" s="1711"/>
    </row>
    <row r="30" spans="2:9" ht="12.75">
      <c r="B30" s="262"/>
      <c r="F30" s="263"/>
      <c r="G30" s="264"/>
      <c r="H30" s="264"/>
      <c r="I30" s="265"/>
    </row>
    <row r="31" spans="6:9" ht="12.75">
      <c r="F31" s="263"/>
      <c r="G31" s="264"/>
      <c r="H31" s="264"/>
      <c r="I31" s="265"/>
    </row>
    <row r="32" spans="6:9" ht="12.75">
      <c r="F32" s="263"/>
      <c r="G32" s="264"/>
      <c r="H32" s="264"/>
      <c r="I32" s="265"/>
    </row>
    <row r="33" spans="6:9" ht="12.75">
      <c r="F33" s="263"/>
      <c r="G33" s="264"/>
      <c r="H33" s="264"/>
      <c r="I33" s="265"/>
    </row>
    <row r="34" spans="6:9" ht="12.75">
      <c r="F34" s="263"/>
      <c r="G34" s="264"/>
      <c r="H34" s="264"/>
      <c r="I34" s="265"/>
    </row>
    <row r="35" spans="6:9" ht="12.75">
      <c r="F35" s="263"/>
      <c r="G35" s="264"/>
      <c r="H35" s="264"/>
      <c r="I35" s="265"/>
    </row>
    <row r="36" spans="6:9" ht="12.75">
      <c r="F36" s="263"/>
      <c r="G36" s="264"/>
      <c r="H36" s="264"/>
      <c r="I36" s="265"/>
    </row>
    <row r="37" spans="6:9" ht="12.75">
      <c r="F37" s="263"/>
      <c r="G37" s="264"/>
      <c r="H37" s="264"/>
      <c r="I37" s="265"/>
    </row>
    <row r="38" spans="6:9" ht="12.75">
      <c r="F38" s="263"/>
      <c r="G38" s="264"/>
      <c r="H38" s="264"/>
      <c r="I38" s="265"/>
    </row>
    <row r="39" spans="6:9" ht="12.75">
      <c r="F39" s="263"/>
      <c r="G39" s="264"/>
      <c r="H39" s="264"/>
      <c r="I39" s="265"/>
    </row>
    <row r="40" spans="6:9" ht="12.75">
      <c r="F40" s="263"/>
      <c r="G40" s="264"/>
      <c r="H40" s="264"/>
      <c r="I40" s="265"/>
    </row>
    <row r="41" spans="6:9" ht="12.75">
      <c r="F41" s="263"/>
      <c r="G41" s="264"/>
      <c r="H41" s="264"/>
      <c r="I41" s="265"/>
    </row>
    <row r="42" spans="6:9" ht="12.75">
      <c r="F42" s="263"/>
      <c r="G42" s="264"/>
      <c r="H42" s="264"/>
      <c r="I42" s="265"/>
    </row>
    <row r="43" spans="6:9" ht="12.75">
      <c r="F43" s="263"/>
      <c r="G43" s="264"/>
      <c r="H43" s="264"/>
      <c r="I43" s="265"/>
    </row>
    <row r="44" spans="6:9" ht="12.75">
      <c r="F44" s="263"/>
      <c r="G44" s="264"/>
      <c r="H44" s="264"/>
      <c r="I44" s="265"/>
    </row>
    <row r="45" spans="6:9" ht="12.75">
      <c r="F45" s="263"/>
      <c r="G45" s="264"/>
      <c r="H45" s="264"/>
      <c r="I45" s="265"/>
    </row>
    <row r="46" spans="6:9" ht="12.75">
      <c r="F46" s="263"/>
      <c r="G46" s="264"/>
      <c r="H46" s="264"/>
      <c r="I46" s="265"/>
    </row>
    <row r="47" spans="6:9" ht="12.75">
      <c r="F47" s="263"/>
      <c r="G47" s="264"/>
      <c r="H47" s="264"/>
      <c r="I47" s="265"/>
    </row>
    <row r="48" spans="6:9" ht="12.75">
      <c r="F48" s="263"/>
      <c r="G48" s="264"/>
      <c r="H48" s="264"/>
      <c r="I48" s="265"/>
    </row>
    <row r="49" spans="6:9" ht="12.75">
      <c r="F49" s="263"/>
      <c r="G49" s="264"/>
      <c r="H49" s="264"/>
      <c r="I49" s="265"/>
    </row>
    <row r="50" spans="6:9" ht="12.75">
      <c r="F50" s="263"/>
      <c r="G50" s="264"/>
      <c r="H50" s="264"/>
      <c r="I50" s="265"/>
    </row>
    <row r="51" spans="6:9" ht="12.75">
      <c r="F51" s="263"/>
      <c r="G51" s="264"/>
      <c r="H51" s="264"/>
      <c r="I51" s="265"/>
    </row>
    <row r="52" spans="6:9" ht="12.75">
      <c r="F52" s="263"/>
      <c r="G52" s="264"/>
      <c r="H52" s="264"/>
      <c r="I52" s="265"/>
    </row>
    <row r="53" spans="6:9" ht="12.75">
      <c r="F53" s="263"/>
      <c r="G53" s="264"/>
      <c r="H53" s="264"/>
      <c r="I53" s="265"/>
    </row>
    <row r="54" spans="6:9" ht="12.75">
      <c r="F54" s="263"/>
      <c r="G54" s="264"/>
      <c r="H54" s="264"/>
      <c r="I54" s="265"/>
    </row>
    <row r="55" spans="6:9" ht="12.75">
      <c r="F55" s="263"/>
      <c r="G55" s="264"/>
      <c r="H55" s="264"/>
      <c r="I55" s="265"/>
    </row>
    <row r="56" spans="6:9" ht="12.75">
      <c r="F56" s="263"/>
      <c r="G56" s="264"/>
      <c r="H56" s="264"/>
      <c r="I56" s="265"/>
    </row>
    <row r="57" spans="6:9" ht="12.75">
      <c r="F57" s="263"/>
      <c r="G57" s="264"/>
      <c r="H57" s="264"/>
      <c r="I57" s="265"/>
    </row>
    <row r="58" spans="6:9" ht="12.75">
      <c r="F58" s="263"/>
      <c r="G58" s="264"/>
      <c r="H58" s="264"/>
      <c r="I58" s="265"/>
    </row>
    <row r="59" spans="6:9" ht="12.75">
      <c r="F59" s="263"/>
      <c r="G59" s="264"/>
      <c r="H59" s="264"/>
      <c r="I59" s="265"/>
    </row>
    <row r="60" spans="6:9" ht="12.75">
      <c r="F60" s="263"/>
      <c r="G60" s="264"/>
      <c r="H60" s="264"/>
      <c r="I60" s="265"/>
    </row>
    <row r="61" spans="6:9" ht="12.75">
      <c r="F61" s="263"/>
      <c r="G61" s="264"/>
      <c r="H61" s="264"/>
      <c r="I61" s="265"/>
    </row>
    <row r="62" spans="6:9" ht="12.75">
      <c r="F62" s="263"/>
      <c r="G62" s="264"/>
      <c r="H62" s="264"/>
      <c r="I62" s="265"/>
    </row>
    <row r="63" spans="6:9" ht="12.75">
      <c r="F63" s="263"/>
      <c r="G63" s="264"/>
      <c r="H63" s="264"/>
      <c r="I63" s="265"/>
    </row>
    <row r="64" spans="6:9" ht="12.75">
      <c r="F64" s="263"/>
      <c r="G64" s="264"/>
      <c r="H64" s="264"/>
      <c r="I64" s="265"/>
    </row>
    <row r="65" spans="6:9" ht="12.75">
      <c r="F65" s="263"/>
      <c r="G65" s="264"/>
      <c r="H65" s="264"/>
      <c r="I65" s="265"/>
    </row>
    <row r="66" spans="6:9" ht="12.75">
      <c r="F66" s="263"/>
      <c r="G66" s="264"/>
      <c r="H66" s="264"/>
      <c r="I66" s="265"/>
    </row>
    <row r="67" spans="6:9" ht="12.75">
      <c r="F67" s="263"/>
      <c r="G67" s="264"/>
      <c r="H67" s="264"/>
      <c r="I67" s="265"/>
    </row>
    <row r="68" spans="6:9" ht="12.75">
      <c r="F68" s="263"/>
      <c r="G68" s="264"/>
      <c r="H68" s="264"/>
      <c r="I68" s="265"/>
    </row>
    <row r="69" spans="6:9" ht="12.75">
      <c r="F69" s="263"/>
      <c r="G69" s="264"/>
      <c r="H69" s="264"/>
      <c r="I69" s="265"/>
    </row>
    <row r="70" spans="6:9" ht="12.75">
      <c r="F70" s="263"/>
      <c r="G70" s="264"/>
      <c r="H70" s="264"/>
      <c r="I70" s="265"/>
    </row>
    <row r="71" spans="6:9" ht="12.75">
      <c r="F71" s="263"/>
      <c r="G71" s="264"/>
      <c r="H71" s="264"/>
      <c r="I71" s="265"/>
    </row>
    <row r="72" spans="6:9" ht="12.75">
      <c r="F72" s="263"/>
      <c r="G72" s="264"/>
      <c r="H72" s="264"/>
      <c r="I72" s="265"/>
    </row>
    <row r="73" spans="6:9" ht="12.75">
      <c r="F73" s="263"/>
      <c r="G73" s="264"/>
      <c r="H73" s="264"/>
      <c r="I73" s="265"/>
    </row>
    <row r="74" spans="6:9" ht="12.75">
      <c r="F74" s="263"/>
      <c r="G74" s="264"/>
      <c r="H74" s="264"/>
      <c r="I74" s="265"/>
    </row>
    <row r="75" spans="6:9" ht="12.75">
      <c r="F75" s="263"/>
      <c r="G75" s="264"/>
      <c r="H75" s="264"/>
      <c r="I75" s="265"/>
    </row>
    <row r="76" spans="6:9" ht="12.75">
      <c r="F76" s="263"/>
      <c r="G76" s="264"/>
      <c r="H76" s="264"/>
      <c r="I76" s="265"/>
    </row>
    <row r="77" spans="6:9" ht="12.75">
      <c r="F77" s="263"/>
      <c r="G77" s="264"/>
      <c r="H77" s="264"/>
      <c r="I77" s="265"/>
    </row>
    <row r="78" spans="6:9" ht="12.75">
      <c r="F78" s="263"/>
      <c r="G78" s="264"/>
      <c r="H78" s="264"/>
      <c r="I78" s="265"/>
    </row>
    <row r="79" spans="6:9" ht="12.75">
      <c r="F79" s="263"/>
      <c r="G79" s="264"/>
      <c r="H79" s="264"/>
      <c r="I79" s="265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Z137"/>
  <sheetViews>
    <sheetView showGridLines="0" showZeros="0" workbookViewId="0" topLeftCell="A2">
      <selection activeCell="L80" sqref="L80:L81"/>
    </sheetView>
  </sheetViews>
  <sheetFormatPr defaultColWidth="9.125" defaultRowHeight="12.75"/>
  <cols>
    <col min="1" max="1" width="4.50390625" style="266" customWidth="1"/>
    <col min="2" max="2" width="11.50390625" style="266" customWidth="1"/>
    <col min="3" max="3" width="40.50390625" style="266" customWidth="1"/>
    <col min="4" max="4" width="5.50390625" style="266" customWidth="1"/>
    <col min="5" max="5" width="8.50390625" style="272" customWidth="1"/>
    <col min="6" max="6" width="9.875" style="266" customWidth="1"/>
    <col min="7" max="7" width="13.875" style="266" customWidth="1"/>
    <col min="8" max="11" width="9.125" style="266" customWidth="1"/>
    <col min="12" max="12" width="75.50390625" style="266" customWidth="1"/>
    <col min="13" max="13" width="45.375" style="266" customWidth="1"/>
    <col min="14" max="16384" width="9.125" style="266" customWidth="1"/>
  </cols>
  <sheetData>
    <row r="1" spans="1:7" ht="15.6">
      <c r="A1" s="1590" t="s">
        <v>127</v>
      </c>
      <c r="B1" s="1590"/>
      <c r="C1" s="1590"/>
      <c r="D1" s="1590"/>
      <c r="E1" s="1590"/>
      <c r="F1" s="1590"/>
      <c r="G1" s="1590"/>
    </row>
    <row r="2" spans="1:7" ht="14.25" customHeight="1" thickBot="1">
      <c r="A2" s="190"/>
      <c r="B2" s="191"/>
      <c r="C2" s="192"/>
      <c r="D2" s="192"/>
      <c r="E2" s="193"/>
      <c r="F2" s="192"/>
      <c r="G2" s="192"/>
    </row>
    <row r="3" spans="1:7" ht="13.8" thickTop="1">
      <c r="A3" s="1579" t="s">
        <v>2</v>
      </c>
      <c r="B3" s="1580"/>
      <c r="C3" s="102" t="str">
        <f>CONCATENATE(certsedrtga," ",znuiuuik)</f>
        <v>2013/88 Lednice zahrady</v>
      </c>
      <c r="D3" s="194"/>
      <c r="E3" s="195" t="s">
        <v>128</v>
      </c>
      <c r="F3" s="196">
        <f>'z11bR'!H1</f>
        <v>0</v>
      </c>
      <c r="G3" s="197"/>
    </row>
    <row r="4" spans="1:7" ht="13.8" thickBot="1">
      <c r="A4" s="1591" t="s">
        <v>79</v>
      </c>
      <c r="B4" s="1582"/>
      <c r="C4" s="96" t="str">
        <f>CONCATENATE(etvaetrva," ",caewtabert)</f>
        <v>11b Čerpací stanice</v>
      </c>
      <c r="D4" s="198"/>
      <c r="E4" s="1592" t="str">
        <f>'z11bR'!G2</f>
        <v xml:space="preserve"> Aktul. říjen 2014 -cel.roz.- přípočty+odpočty</v>
      </c>
      <c r="F4" s="1593"/>
      <c r="G4" s="1594"/>
    </row>
    <row r="5" spans="1:7" ht="13.8" thickTop="1">
      <c r="A5" s="199"/>
      <c r="B5" s="190"/>
      <c r="C5" s="190"/>
      <c r="D5" s="190"/>
      <c r="E5" s="200"/>
      <c r="F5" s="190"/>
      <c r="G5" s="201"/>
    </row>
    <row r="6" spans="1:7" ht="12.75">
      <c r="A6" s="1524" t="s">
        <v>129</v>
      </c>
      <c r="B6" s="1525" t="s">
        <v>130</v>
      </c>
      <c r="C6" s="1525" t="s">
        <v>131</v>
      </c>
      <c r="D6" s="1525" t="s">
        <v>132</v>
      </c>
      <c r="E6" s="1526" t="s">
        <v>133</v>
      </c>
      <c r="F6" s="1525" t="s">
        <v>134</v>
      </c>
      <c r="G6" s="1527" t="s">
        <v>135</v>
      </c>
    </row>
    <row r="7" spans="1:15" ht="12.75">
      <c r="A7" s="1528" t="s">
        <v>140</v>
      </c>
      <c r="B7" s="1529" t="s">
        <v>141</v>
      </c>
      <c r="C7" s="1530" t="s">
        <v>142</v>
      </c>
      <c r="D7" s="1531"/>
      <c r="E7" s="1532"/>
      <c r="F7" s="1532"/>
      <c r="G7" s="1533"/>
      <c r="H7" s="267"/>
      <c r="I7" s="267"/>
      <c r="O7" s="268">
        <v>1</v>
      </c>
    </row>
    <row r="8" spans="1:104" ht="12.75">
      <c r="A8" s="1534">
        <v>1</v>
      </c>
      <c r="B8" s="1535" t="s">
        <v>2242</v>
      </c>
      <c r="C8" s="1536" t="s">
        <v>2243</v>
      </c>
      <c r="D8" s="1537" t="s">
        <v>154</v>
      </c>
      <c r="E8" s="1538">
        <v>-0.16</v>
      </c>
      <c r="F8" s="1538">
        <v>0</v>
      </c>
      <c r="G8" s="1539">
        <f>E8*F8</f>
        <v>0</v>
      </c>
      <c r="O8" s="268">
        <v>2</v>
      </c>
      <c r="AA8" s="266">
        <v>1</v>
      </c>
      <c r="AB8" s="266">
        <v>1</v>
      </c>
      <c r="AC8" s="266">
        <v>1</v>
      </c>
      <c r="AZ8" s="266">
        <v>1</v>
      </c>
      <c r="BA8" s="266">
        <f>IF(AZ8=1,G8,0)</f>
        <v>0</v>
      </c>
      <c r="BB8" s="266">
        <f>IF(AZ8=2,G8,0)</f>
        <v>0</v>
      </c>
      <c r="BC8" s="266">
        <f>IF(AZ8=3,G8,0)</f>
        <v>0</v>
      </c>
      <c r="BD8" s="266">
        <f>IF(AZ8=4,G8,0)</f>
        <v>0</v>
      </c>
      <c r="BE8" s="266">
        <f>IF(AZ8=5,G8,0)</f>
        <v>0</v>
      </c>
      <c r="CA8" s="268">
        <v>1</v>
      </c>
      <c r="CB8" s="268">
        <v>1</v>
      </c>
      <c r="CZ8" s="266">
        <v>0</v>
      </c>
    </row>
    <row r="9" spans="1:15" ht="12.75">
      <c r="A9" s="1540"/>
      <c r="B9" s="1541"/>
      <c r="C9" s="1715"/>
      <c r="D9" s="1716"/>
      <c r="E9" s="1716"/>
      <c r="F9" s="1716"/>
      <c r="G9" s="1717"/>
      <c r="L9" s="234"/>
      <c r="O9" s="268">
        <v>3</v>
      </c>
    </row>
    <row r="10" spans="1:15" ht="12.75">
      <c r="A10" s="1540"/>
      <c r="B10" s="1542"/>
      <c r="C10" s="1712" t="s">
        <v>2372</v>
      </c>
      <c r="D10" s="1713"/>
      <c r="E10" s="1543">
        <v>-0.16</v>
      </c>
      <c r="F10" s="1544"/>
      <c r="G10" s="1545"/>
      <c r="M10" s="234" t="s">
        <v>2372</v>
      </c>
      <c r="O10" s="268"/>
    </row>
    <row r="11" spans="1:104" ht="12.75">
      <c r="A11" s="1534">
        <v>2</v>
      </c>
      <c r="B11" s="1535" t="s">
        <v>156</v>
      </c>
      <c r="C11" s="1536" t="s">
        <v>2243</v>
      </c>
      <c r="D11" s="1537" t="s">
        <v>154</v>
      </c>
      <c r="E11" s="1538">
        <v>-8</v>
      </c>
      <c r="F11" s="1538">
        <v>0</v>
      </c>
      <c r="G11" s="1539">
        <f>E11*F11</f>
        <v>0</v>
      </c>
      <c r="O11" s="268">
        <v>2</v>
      </c>
      <c r="AA11" s="266">
        <v>1</v>
      </c>
      <c r="AB11" s="266">
        <v>0</v>
      </c>
      <c r="AC11" s="266">
        <v>0</v>
      </c>
      <c r="AZ11" s="266">
        <v>1</v>
      </c>
      <c r="BA11" s="266">
        <f>IF(AZ11=1,G11,0)</f>
        <v>0</v>
      </c>
      <c r="BB11" s="266">
        <f>IF(AZ11=2,G11,0)</f>
        <v>0</v>
      </c>
      <c r="BC11" s="266">
        <f>IF(AZ11=3,G11,0)</f>
        <v>0</v>
      </c>
      <c r="BD11" s="266">
        <f>IF(AZ11=4,G11,0)</f>
        <v>0</v>
      </c>
      <c r="BE11" s="266">
        <f>IF(AZ11=5,G11,0)</f>
        <v>0</v>
      </c>
      <c r="CA11" s="268">
        <v>1</v>
      </c>
      <c r="CB11" s="268">
        <v>0</v>
      </c>
      <c r="CZ11" s="266">
        <v>0</v>
      </c>
    </row>
    <row r="12" spans="1:15" ht="12.75">
      <c r="A12" s="1540"/>
      <c r="B12" s="1541"/>
      <c r="C12" s="1715"/>
      <c r="D12" s="1716"/>
      <c r="E12" s="1716"/>
      <c r="F12" s="1716"/>
      <c r="G12" s="1717"/>
      <c r="L12" s="234"/>
      <c r="O12" s="268">
        <v>3</v>
      </c>
    </row>
    <row r="13" spans="1:104" ht="12.75">
      <c r="A13" s="1534">
        <v>3</v>
      </c>
      <c r="B13" s="1535" t="s">
        <v>2245</v>
      </c>
      <c r="C13" s="1536" t="s">
        <v>2246</v>
      </c>
      <c r="D13" s="1537" t="s">
        <v>154</v>
      </c>
      <c r="E13" s="1538">
        <v>1.68</v>
      </c>
      <c r="F13" s="1538">
        <v>0</v>
      </c>
      <c r="G13" s="1539">
        <f>E13*F13</f>
        <v>0</v>
      </c>
      <c r="O13" s="268">
        <v>2</v>
      </c>
      <c r="AA13" s="266">
        <v>1</v>
      </c>
      <c r="AB13" s="266">
        <v>1</v>
      </c>
      <c r="AC13" s="266">
        <v>1</v>
      </c>
      <c r="AZ13" s="266">
        <v>1</v>
      </c>
      <c r="BA13" s="266">
        <f>IF(AZ13=1,G13,0)</f>
        <v>0</v>
      </c>
      <c r="BB13" s="266">
        <f>IF(AZ13=2,G13,0)</f>
        <v>0</v>
      </c>
      <c r="BC13" s="266">
        <f>IF(AZ13=3,G13,0)</f>
        <v>0</v>
      </c>
      <c r="BD13" s="266">
        <f>IF(AZ13=4,G13,0)</f>
        <v>0</v>
      </c>
      <c r="BE13" s="266">
        <f>IF(AZ13=5,G13,0)</f>
        <v>0</v>
      </c>
      <c r="CA13" s="268">
        <v>1</v>
      </c>
      <c r="CB13" s="268">
        <v>1</v>
      </c>
      <c r="CZ13" s="266">
        <v>0</v>
      </c>
    </row>
    <row r="14" spans="1:104" ht="12.75">
      <c r="A14" s="1534">
        <v>4</v>
      </c>
      <c r="B14" s="1535" t="s">
        <v>502</v>
      </c>
      <c r="C14" s="1536" t="s">
        <v>2247</v>
      </c>
      <c r="D14" s="1537" t="s">
        <v>154</v>
      </c>
      <c r="E14" s="1538">
        <v>1.68</v>
      </c>
      <c r="F14" s="1538">
        <v>0</v>
      </c>
      <c r="G14" s="1539">
        <f>E14*F14</f>
        <v>0</v>
      </c>
      <c r="O14" s="268">
        <v>2</v>
      </c>
      <c r="AA14" s="266">
        <v>1</v>
      </c>
      <c r="AB14" s="266">
        <v>1</v>
      </c>
      <c r="AC14" s="266">
        <v>1</v>
      </c>
      <c r="AZ14" s="266">
        <v>1</v>
      </c>
      <c r="BA14" s="266">
        <f>IF(AZ14=1,G14,0)</f>
        <v>0</v>
      </c>
      <c r="BB14" s="266">
        <f>IF(AZ14=2,G14,0)</f>
        <v>0</v>
      </c>
      <c r="BC14" s="266">
        <f>IF(AZ14=3,G14,0)</f>
        <v>0</v>
      </c>
      <c r="BD14" s="266">
        <f>IF(AZ14=4,G14,0)</f>
        <v>0</v>
      </c>
      <c r="BE14" s="266">
        <f>IF(AZ14=5,G14,0)</f>
        <v>0</v>
      </c>
      <c r="CA14" s="268">
        <v>1</v>
      </c>
      <c r="CB14" s="268">
        <v>1</v>
      </c>
      <c r="CZ14" s="266">
        <v>0</v>
      </c>
    </row>
    <row r="15" spans="1:15" ht="12.75">
      <c r="A15" s="1540"/>
      <c r="B15" s="1542"/>
      <c r="C15" s="1712" t="s">
        <v>2371</v>
      </c>
      <c r="D15" s="1713"/>
      <c r="E15" s="1543">
        <v>1.68</v>
      </c>
      <c r="F15" s="1544"/>
      <c r="G15" s="1545"/>
      <c r="M15" s="234" t="s">
        <v>2371</v>
      </c>
      <c r="O15" s="268"/>
    </row>
    <row r="16" spans="1:57" ht="12.75">
      <c r="A16" s="1546"/>
      <c r="B16" s="1387" t="s">
        <v>175</v>
      </c>
      <c r="C16" s="1374" t="str">
        <f>CONCATENATE(B7," ",C7)</f>
        <v>1 Zemní práce</v>
      </c>
      <c r="D16" s="1531"/>
      <c r="E16" s="1547"/>
      <c r="F16" s="1548"/>
      <c r="G16" s="1549">
        <f>SUM(G7:G15)</f>
        <v>0</v>
      </c>
      <c r="O16" s="268">
        <v>4</v>
      </c>
      <c r="BA16" s="269">
        <f>SUM(BA7:BA15)</f>
        <v>0</v>
      </c>
      <c r="BB16" s="269">
        <f>SUM(BB7:BB15)</f>
        <v>0</v>
      </c>
      <c r="BC16" s="269">
        <f>SUM(BC7:BC15)</f>
        <v>0</v>
      </c>
      <c r="BD16" s="269">
        <f>SUM(BD7:BD15)</f>
        <v>0</v>
      </c>
      <c r="BE16" s="269">
        <f>SUM(BE7:BE15)</f>
        <v>0</v>
      </c>
    </row>
    <row r="17" spans="1:15" ht="12.75">
      <c r="A17" s="1528" t="s">
        <v>140</v>
      </c>
      <c r="B17" s="1529" t="s">
        <v>183</v>
      </c>
      <c r="C17" s="1530" t="s">
        <v>184</v>
      </c>
      <c r="D17" s="1531"/>
      <c r="E17" s="1532"/>
      <c r="F17" s="1532"/>
      <c r="G17" s="1533"/>
      <c r="H17" s="267"/>
      <c r="I17" s="267"/>
      <c r="O17" s="268">
        <v>1</v>
      </c>
    </row>
    <row r="18" spans="1:104" ht="12.75">
      <c r="A18" s="1534">
        <v>5</v>
      </c>
      <c r="B18" s="1535" t="s">
        <v>2254</v>
      </c>
      <c r="C18" s="1536" t="s">
        <v>2255</v>
      </c>
      <c r="D18" s="1537" t="s">
        <v>145</v>
      </c>
      <c r="E18" s="1538">
        <v>24.32</v>
      </c>
      <c r="F18" s="1538">
        <v>0</v>
      </c>
      <c r="G18" s="1539">
        <f>E18*F18</f>
        <v>0</v>
      </c>
      <c r="O18" s="268">
        <v>2</v>
      </c>
      <c r="AA18" s="266">
        <v>1</v>
      </c>
      <c r="AB18" s="266">
        <v>1</v>
      </c>
      <c r="AC18" s="266">
        <v>1</v>
      </c>
      <c r="AZ18" s="266">
        <v>1</v>
      </c>
      <c r="BA18" s="266">
        <f>IF(AZ18=1,G18,0)</f>
        <v>0</v>
      </c>
      <c r="BB18" s="266">
        <f>IF(AZ18=2,G18,0)</f>
        <v>0</v>
      </c>
      <c r="BC18" s="266">
        <f>IF(AZ18=3,G18,0)</f>
        <v>0</v>
      </c>
      <c r="BD18" s="266">
        <f>IF(AZ18=4,G18,0)</f>
        <v>0</v>
      </c>
      <c r="BE18" s="266">
        <f>IF(AZ18=5,G18,0)</f>
        <v>0</v>
      </c>
      <c r="CA18" s="268">
        <v>1</v>
      </c>
      <c r="CB18" s="268">
        <v>1</v>
      </c>
      <c r="CZ18" s="266">
        <v>4E-05</v>
      </c>
    </row>
    <row r="19" spans="1:15" ht="12.75">
      <c r="A19" s="1540"/>
      <c r="B19" s="1542"/>
      <c r="C19" s="1712" t="s">
        <v>2370</v>
      </c>
      <c r="D19" s="1713"/>
      <c r="E19" s="1543">
        <v>24.32</v>
      </c>
      <c r="F19" s="1544"/>
      <c r="G19" s="1545"/>
      <c r="M19" s="234" t="s">
        <v>2370</v>
      </c>
      <c r="O19" s="268"/>
    </row>
    <row r="20" spans="1:104" ht="12.75">
      <c r="A20" s="1534">
        <v>6</v>
      </c>
      <c r="B20" s="1535" t="s">
        <v>517</v>
      </c>
      <c r="C20" s="1536" t="s">
        <v>518</v>
      </c>
      <c r="D20" s="1537" t="s">
        <v>154</v>
      </c>
      <c r="E20" s="1538">
        <v>-0.612</v>
      </c>
      <c r="F20" s="1538">
        <v>0</v>
      </c>
      <c r="G20" s="1539">
        <f aca="true" t="shared" si="0" ref="G20:G25">E20*F20</f>
        <v>0</v>
      </c>
      <c r="O20" s="268">
        <v>2</v>
      </c>
      <c r="AA20" s="266">
        <v>1</v>
      </c>
      <c r="AB20" s="266">
        <v>1</v>
      </c>
      <c r="AC20" s="266">
        <v>1</v>
      </c>
      <c r="AZ20" s="266">
        <v>1</v>
      </c>
      <c r="BA20" s="266">
        <f aca="true" t="shared" si="1" ref="BA20:BA25">IF(AZ20=1,G20,0)</f>
        <v>0</v>
      </c>
      <c r="BB20" s="266">
        <f aca="true" t="shared" si="2" ref="BB20:BB25">IF(AZ20=2,G20,0)</f>
        <v>0</v>
      </c>
      <c r="BC20" s="266">
        <f aca="true" t="shared" si="3" ref="BC20:BC25">IF(AZ20=3,G20,0)</f>
        <v>0</v>
      </c>
      <c r="BD20" s="266">
        <f aca="true" t="shared" si="4" ref="BD20:BD25">IF(AZ20=4,G20,0)</f>
        <v>0</v>
      </c>
      <c r="BE20" s="266">
        <f aca="true" t="shared" si="5" ref="BE20:BE25">IF(AZ20=5,G20,0)</f>
        <v>0</v>
      </c>
      <c r="CA20" s="268">
        <v>1</v>
      </c>
      <c r="CB20" s="268">
        <v>1</v>
      </c>
      <c r="CZ20" s="266">
        <v>2.16</v>
      </c>
    </row>
    <row r="21" spans="1:104" ht="12.75">
      <c r="A21" s="1534">
        <v>7</v>
      </c>
      <c r="B21" s="1535" t="s">
        <v>520</v>
      </c>
      <c r="C21" s="1536" t="s">
        <v>521</v>
      </c>
      <c r="D21" s="1537" t="s">
        <v>154</v>
      </c>
      <c r="E21" s="1538">
        <v>-0.612</v>
      </c>
      <c r="F21" s="1538">
        <v>0</v>
      </c>
      <c r="G21" s="1539">
        <f t="shared" si="0"/>
        <v>0</v>
      </c>
      <c r="O21" s="268">
        <v>2</v>
      </c>
      <c r="AA21" s="266">
        <v>1</v>
      </c>
      <c r="AB21" s="266">
        <v>1</v>
      </c>
      <c r="AC21" s="266">
        <v>1</v>
      </c>
      <c r="AZ21" s="266">
        <v>1</v>
      </c>
      <c r="BA21" s="266">
        <f t="shared" si="1"/>
        <v>0</v>
      </c>
      <c r="BB21" s="266">
        <f t="shared" si="2"/>
        <v>0</v>
      </c>
      <c r="BC21" s="266">
        <f t="shared" si="3"/>
        <v>0</v>
      </c>
      <c r="BD21" s="266">
        <f t="shared" si="4"/>
        <v>0</v>
      </c>
      <c r="BE21" s="266">
        <f t="shared" si="5"/>
        <v>0</v>
      </c>
      <c r="CA21" s="268">
        <v>1</v>
      </c>
      <c r="CB21" s="268">
        <v>1</v>
      </c>
      <c r="CZ21" s="266">
        <v>2.525</v>
      </c>
    </row>
    <row r="22" spans="1:104" ht="20.4">
      <c r="A22" s="1534">
        <v>8</v>
      </c>
      <c r="B22" s="1535" t="s">
        <v>522</v>
      </c>
      <c r="C22" s="1536" t="s">
        <v>523</v>
      </c>
      <c r="D22" s="1537" t="s">
        <v>166</v>
      </c>
      <c r="E22" s="1538">
        <v>-0.0461</v>
      </c>
      <c r="F22" s="1538">
        <v>0</v>
      </c>
      <c r="G22" s="1539">
        <f t="shared" si="0"/>
        <v>0</v>
      </c>
      <c r="O22" s="268">
        <v>2</v>
      </c>
      <c r="AA22" s="266">
        <v>1</v>
      </c>
      <c r="AB22" s="266">
        <v>1</v>
      </c>
      <c r="AC22" s="266">
        <v>1</v>
      </c>
      <c r="AZ22" s="266">
        <v>1</v>
      </c>
      <c r="BA22" s="266">
        <f t="shared" si="1"/>
        <v>0</v>
      </c>
      <c r="BB22" s="266">
        <f t="shared" si="2"/>
        <v>0</v>
      </c>
      <c r="BC22" s="266">
        <f t="shared" si="3"/>
        <v>0</v>
      </c>
      <c r="BD22" s="266">
        <f t="shared" si="4"/>
        <v>0</v>
      </c>
      <c r="BE22" s="266">
        <f t="shared" si="5"/>
        <v>0</v>
      </c>
      <c r="CA22" s="268">
        <v>1</v>
      </c>
      <c r="CB22" s="268">
        <v>1</v>
      </c>
      <c r="CZ22" s="266">
        <v>0.00374</v>
      </c>
    </row>
    <row r="23" spans="1:104" ht="12.75">
      <c r="A23" s="1534">
        <v>9</v>
      </c>
      <c r="B23" s="1535" t="s">
        <v>185</v>
      </c>
      <c r="C23" s="1536" t="s">
        <v>186</v>
      </c>
      <c r="D23" s="1537" t="s">
        <v>154</v>
      </c>
      <c r="E23" s="1538">
        <v>-0.16</v>
      </c>
      <c r="F23" s="1538">
        <v>0</v>
      </c>
      <c r="G23" s="1539">
        <f t="shared" si="0"/>
        <v>0</v>
      </c>
      <c r="O23" s="268">
        <v>2</v>
      </c>
      <c r="AA23" s="266">
        <v>1</v>
      </c>
      <c r="AB23" s="266">
        <v>0</v>
      </c>
      <c r="AC23" s="266">
        <v>0</v>
      </c>
      <c r="AZ23" s="266">
        <v>1</v>
      </c>
      <c r="BA23" s="266">
        <f t="shared" si="1"/>
        <v>0</v>
      </c>
      <c r="BB23" s="266">
        <f t="shared" si="2"/>
        <v>0</v>
      </c>
      <c r="BC23" s="266">
        <f t="shared" si="3"/>
        <v>0</v>
      </c>
      <c r="BD23" s="266">
        <f t="shared" si="4"/>
        <v>0</v>
      </c>
      <c r="BE23" s="266">
        <f t="shared" si="5"/>
        <v>0</v>
      </c>
      <c r="CA23" s="268">
        <v>1</v>
      </c>
      <c r="CB23" s="268">
        <v>0</v>
      </c>
      <c r="CZ23" s="266">
        <v>2.525</v>
      </c>
    </row>
    <row r="24" spans="1:104" ht="12.75">
      <c r="A24" s="1534">
        <v>10</v>
      </c>
      <c r="B24" s="1535" t="s">
        <v>2262</v>
      </c>
      <c r="C24" s="1536" t="s">
        <v>2263</v>
      </c>
      <c r="D24" s="1537" t="s">
        <v>145</v>
      </c>
      <c r="E24" s="1538">
        <v>-41.36</v>
      </c>
      <c r="F24" s="1538">
        <v>0</v>
      </c>
      <c r="G24" s="1539">
        <f t="shared" si="0"/>
        <v>0</v>
      </c>
      <c r="O24" s="268">
        <v>2</v>
      </c>
      <c r="AA24" s="266">
        <v>1</v>
      </c>
      <c r="AB24" s="266">
        <v>1</v>
      </c>
      <c r="AC24" s="266">
        <v>1</v>
      </c>
      <c r="AZ24" s="266">
        <v>1</v>
      </c>
      <c r="BA24" s="266">
        <f t="shared" si="1"/>
        <v>0</v>
      </c>
      <c r="BB24" s="266">
        <f t="shared" si="2"/>
        <v>0</v>
      </c>
      <c r="BC24" s="266">
        <f t="shared" si="3"/>
        <v>0</v>
      </c>
      <c r="BD24" s="266">
        <f t="shared" si="4"/>
        <v>0</v>
      </c>
      <c r="BE24" s="266">
        <f t="shared" si="5"/>
        <v>0</v>
      </c>
      <c r="CA24" s="268">
        <v>1</v>
      </c>
      <c r="CB24" s="268">
        <v>1</v>
      </c>
      <c r="CZ24" s="266">
        <v>0.01289</v>
      </c>
    </row>
    <row r="25" spans="1:104" ht="12.75">
      <c r="A25" s="1534">
        <v>11</v>
      </c>
      <c r="B25" s="1535" t="s">
        <v>2266</v>
      </c>
      <c r="C25" s="1536" t="s">
        <v>2267</v>
      </c>
      <c r="D25" s="1537" t="s">
        <v>145</v>
      </c>
      <c r="E25" s="1538">
        <v>16.125</v>
      </c>
      <c r="F25" s="1538">
        <v>0</v>
      </c>
      <c r="G25" s="1539">
        <f t="shared" si="0"/>
        <v>0</v>
      </c>
      <c r="O25" s="268">
        <v>2</v>
      </c>
      <c r="AA25" s="266">
        <v>3</v>
      </c>
      <c r="AB25" s="266">
        <v>1</v>
      </c>
      <c r="AC25" s="266">
        <v>67352027</v>
      </c>
      <c r="AZ25" s="266">
        <v>1</v>
      </c>
      <c r="BA25" s="266">
        <f t="shared" si="1"/>
        <v>0</v>
      </c>
      <c r="BB25" s="266">
        <f t="shared" si="2"/>
        <v>0</v>
      </c>
      <c r="BC25" s="266">
        <f t="shared" si="3"/>
        <v>0</v>
      </c>
      <c r="BD25" s="266">
        <f t="shared" si="4"/>
        <v>0</v>
      </c>
      <c r="BE25" s="266">
        <f t="shared" si="5"/>
        <v>0</v>
      </c>
      <c r="CA25" s="268">
        <v>3</v>
      </c>
      <c r="CB25" s="268">
        <v>1</v>
      </c>
      <c r="CZ25" s="266">
        <v>0.00023</v>
      </c>
    </row>
    <row r="26" spans="1:15" ht="12.75">
      <c r="A26" s="1540"/>
      <c r="B26" s="1542"/>
      <c r="C26" s="1712" t="s">
        <v>2268</v>
      </c>
      <c r="D26" s="1713"/>
      <c r="E26" s="1543">
        <v>16.125</v>
      </c>
      <c r="F26" s="1544"/>
      <c r="G26" s="1545"/>
      <c r="M26" s="234" t="s">
        <v>2268</v>
      </c>
      <c r="O26" s="268"/>
    </row>
    <row r="27" spans="1:104" ht="12.75">
      <c r="A27" s="1534">
        <v>12</v>
      </c>
      <c r="B27" s="1535" t="s">
        <v>2269</v>
      </c>
      <c r="C27" s="1536" t="s">
        <v>2270</v>
      </c>
      <c r="D27" s="1537" t="s">
        <v>145</v>
      </c>
      <c r="E27" s="1538">
        <v>29.184</v>
      </c>
      <c r="F27" s="1538">
        <v>0</v>
      </c>
      <c r="G27" s="1539">
        <f>E27*F27</f>
        <v>0</v>
      </c>
      <c r="O27" s="268">
        <v>2</v>
      </c>
      <c r="AA27" s="266">
        <v>3</v>
      </c>
      <c r="AB27" s="266">
        <v>1</v>
      </c>
      <c r="AC27" s="266">
        <v>69365021</v>
      </c>
      <c r="AZ27" s="266">
        <v>1</v>
      </c>
      <c r="BA27" s="266">
        <f>IF(AZ27=1,G27,0)</f>
        <v>0</v>
      </c>
      <c r="BB27" s="266">
        <f>IF(AZ27=2,G27,0)</f>
        <v>0</v>
      </c>
      <c r="BC27" s="266">
        <f>IF(AZ27=3,G27,0)</f>
        <v>0</v>
      </c>
      <c r="BD27" s="266">
        <f>IF(AZ27=4,G27,0)</f>
        <v>0</v>
      </c>
      <c r="BE27" s="266">
        <f>IF(AZ27=5,G27,0)</f>
        <v>0</v>
      </c>
      <c r="CA27" s="268">
        <v>3</v>
      </c>
      <c r="CB27" s="268">
        <v>1</v>
      </c>
      <c r="CZ27" s="266">
        <v>0.0004</v>
      </c>
    </row>
    <row r="28" spans="1:57" ht="12.75">
      <c r="A28" s="1546"/>
      <c r="B28" s="1387" t="s">
        <v>175</v>
      </c>
      <c r="C28" s="1374" t="str">
        <f>CONCATENATE(B17," ",C17)</f>
        <v>2 Základy a zvláštní zakládání</v>
      </c>
      <c r="D28" s="1531"/>
      <c r="E28" s="1547"/>
      <c r="F28" s="1548"/>
      <c r="G28" s="1549">
        <f>SUM(G17:G27)</f>
        <v>0</v>
      </c>
      <c r="O28" s="268">
        <v>4</v>
      </c>
      <c r="BA28" s="269">
        <f>SUM(BA17:BA27)</f>
        <v>0</v>
      </c>
      <c r="BB28" s="269">
        <f>SUM(BB17:BB27)</f>
        <v>0</v>
      </c>
      <c r="BC28" s="269">
        <f>SUM(BC17:BC27)</f>
        <v>0</v>
      </c>
      <c r="BD28" s="269">
        <f>SUM(BD17:BD27)</f>
        <v>0</v>
      </c>
      <c r="BE28" s="269">
        <f>SUM(BE17:BE27)</f>
        <v>0</v>
      </c>
    </row>
    <row r="29" spans="1:15" ht="12.75">
      <c r="A29" s="1528" t="s">
        <v>140</v>
      </c>
      <c r="B29" s="1529" t="s">
        <v>188</v>
      </c>
      <c r="C29" s="1530" t="s">
        <v>189</v>
      </c>
      <c r="D29" s="1531"/>
      <c r="E29" s="1532"/>
      <c r="F29" s="1532"/>
      <c r="G29" s="1533"/>
      <c r="H29" s="267"/>
      <c r="I29" s="267"/>
      <c r="O29" s="268">
        <v>1</v>
      </c>
    </row>
    <row r="30" spans="1:104" ht="20.4">
      <c r="A30" s="1534">
        <v>13</v>
      </c>
      <c r="B30" s="1535" t="s">
        <v>190</v>
      </c>
      <c r="C30" s="1536" t="s">
        <v>191</v>
      </c>
      <c r="D30" s="1537" t="s">
        <v>145</v>
      </c>
      <c r="E30" s="1538">
        <v>1.88</v>
      </c>
      <c r="F30" s="1538">
        <v>0</v>
      </c>
      <c r="G30" s="1539">
        <f>E30*F30</f>
        <v>0</v>
      </c>
      <c r="O30" s="268">
        <v>2</v>
      </c>
      <c r="AA30" s="266">
        <v>1</v>
      </c>
      <c r="AB30" s="266">
        <v>0</v>
      </c>
      <c r="AC30" s="266">
        <v>0</v>
      </c>
      <c r="AZ30" s="266">
        <v>1</v>
      </c>
      <c r="BA30" s="266">
        <f>IF(AZ30=1,G30,0)</f>
        <v>0</v>
      </c>
      <c r="BB30" s="266">
        <f>IF(AZ30=2,G30,0)</f>
        <v>0</v>
      </c>
      <c r="BC30" s="266">
        <f>IF(AZ30=3,G30,0)</f>
        <v>0</v>
      </c>
      <c r="BD30" s="266">
        <f>IF(AZ30=4,G30,0)</f>
        <v>0</v>
      </c>
      <c r="BE30" s="266">
        <f>IF(AZ30=5,G30,0)</f>
        <v>0</v>
      </c>
      <c r="CA30" s="268">
        <v>1</v>
      </c>
      <c r="CB30" s="268">
        <v>0</v>
      </c>
      <c r="CZ30" s="266">
        <v>0.30875</v>
      </c>
    </row>
    <row r="31" spans="1:104" ht="20.4">
      <c r="A31" s="1534">
        <v>14</v>
      </c>
      <c r="B31" s="1535" t="s">
        <v>2274</v>
      </c>
      <c r="C31" s="1536" t="s">
        <v>2275</v>
      </c>
      <c r="D31" s="1537" t="s">
        <v>154</v>
      </c>
      <c r="E31" s="1538">
        <v>2.69</v>
      </c>
      <c r="F31" s="1538">
        <v>0</v>
      </c>
      <c r="G31" s="1539">
        <f>E31*F31</f>
        <v>0</v>
      </c>
      <c r="O31" s="268">
        <v>2</v>
      </c>
      <c r="AA31" s="266">
        <v>1</v>
      </c>
      <c r="AB31" s="266">
        <v>1</v>
      </c>
      <c r="AC31" s="266">
        <v>1</v>
      </c>
      <c r="AZ31" s="266">
        <v>1</v>
      </c>
      <c r="BA31" s="266">
        <f>IF(AZ31=1,G31,0)</f>
        <v>0</v>
      </c>
      <c r="BB31" s="266">
        <f>IF(AZ31=2,G31,0)</f>
        <v>0</v>
      </c>
      <c r="BC31" s="266">
        <f>IF(AZ31=3,G31,0)</f>
        <v>0</v>
      </c>
      <c r="BD31" s="266">
        <f>IF(AZ31=4,G31,0)</f>
        <v>0</v>
      </c>
      <c r="BE31" s="266">
        <f>IF(AZ31=5,G31,0)</f>
        <v>0</v>
      </c>
      <c r="CA31" s="268">
        <v>1</v>
      </c>
      <c r="CB31" s="268">
        <v>1</v>
      </c>
      <c r="CZ31" s="266">
        <v>2.33212</v>
      </c>
    </row>
    <row r="32" spans="1:104" ht="12.75">
      <c r="A32" s="1534">
        <v>15</v>
      </c>
      <c r="B32" s="1535" t="s">
        <v>2369</v>
      </c>
      <c r="C32" s="1536" t="s">
        <v>2368</v>
      </c>
      <c r="D32" s="1537" t="s">
        <v>196</v>
      </c>
      <c r="E32" s="1538">
        <v>380.512</v>
      </c>
      <c r="F32" s="1538">
        <v>0</v>
      </c>
      <c r="G32" s="1539">
        <f>E32*F32</f>
        <v>0</v>
      </c>
      <c r="O32" s="268">
        <v>2</v>
      </c>
      <c r="AA32" s="266">
        <v>3</v>
      </c>
      <c r="AB32" s="266">
        <v>1</v>
      </c>
      <c r="AC32" s="266">
        <v>59011100</v>
      </c>
      <c r="AZ32" s="266">
        <v>1</v>
      </c>
      <c r="BA32" s="266">
        <f>IF(AZ32=1,G32,0)</f>
        <v>0</v>
      </c>
      <c r="BB32" s="266">
        <f>IF(AZ32=2,G32,0)</f>
        <v>0</v>
      </c>
      <c r="BC32" s="266">
        <f>IF(AZ32=3,G32,0)</f>
        <v>0</v>
      </c>
      <c r="BD32" s="266">
        <f>IF(AZ32=4,G32,0)</f>
        <v>0</v>
      </c>
      <c r="BE32" s="266">
        <f>IF(AZ32=5,G32,0)</f>
        <v>0</v>
      </c>
      <c r="CA32" s="268">
        <v>3</v>
      </c>
      <c r="CB32" s="268">
        <v>1</v>
      </c>
      <c r="CZ32" s="266">
        <v>0.019</v>
      </c>
    </row>
    <row r="33" spans="1:15" ht="12.75">
      <c r="A33" s="1540"/>
      <c r="B33" s="1542"/>
      <c r="C33" s="1714" t="s">
        <v>197</v>
      </c>
      <c r="D33" s="1713"/>
      <c r="E33" s="1550">
        <v>0</v>
      </c>
      <c r="F33" s="1544"/>
      <c r="G33" s="1545"/>
      <c r="M33" s="234" t="s">
        <v>197</v>
      </c>
      <c r="O33" s="268"/>
    </row>
    <row r="34" spans="1:15" ht="12.75">
      <c r="A34" s="1540"/>
      <c r="B34" s="1542"/>
      <c r="C34" s="1714" t="s">
        <v>2367</v>
      </c>
      <c r="D34" s="1713"/>
      <c r="E34" s="1550">
        <v>43.24</v>
      </c>
      <c r="F34" s="1544"/>
      <c r="G34" s="1545"/>
      <c r="M34" s="234" t="s">
        <v>2367</v>
      </c>
      <c r="O34" s="268"/>
    </row>
    <row r="35" spans="1:15" ht="12.75">
      <c r="A35" s="1540"/>
      <c r="B35" s="1542"/>
      <c r="C35" s="1714" t="s">
        <v>199</v>
      </c>
      <c r="D35" s="1713"/>
      <c r="E35" s="1550">
        <v>43.24</v>
      </c>
      <c r="F35" s="1544"/>
      <c r="G35" s="1545"/>
      <c r="M35" s="234" t="s">
        <v>199</v>
      </c>
      <c r="O35" s="268"/>
    </row>
    <row r="36" spans="1:15" ht="12.75">
      <c r="A36" s="1540"/>
      <c r="B36" s="1542"/>
      <c r="C36" s="1712" t="s">
        <v>2366</v>
      </c>
      <c r="D36" s="1713"/>
      <c r="E36" s="1543">
        <v>380.512</v>
      </c>
      <c r="F36" s="1544"/>
      <c r="G36" s="1545"/>
      <c r="M36" s="234" t="s">
        <v>2366</v>
      </c>
      <c r="O36" s="268"/>
    </row>
    <row r="37" spans="1:57" ht="12.75">
      <c r="A37" s="1546"/>
      <c r="B37" s="1387" t="s">
        <v>175</v>
      </c>
      <c r="C37" s="1374" t="str">
        <f>CONCATENATE(B29," ",C29)</f>
        <v>3 Svislé a kompletní konstrukce</v>
      </c>
      <c r="D37" s="1531"/>
      <c r="E37" s="1547"/>
      <c r="F37" s="1548"/>
      <c r="G37" s="1549">
        <f>SUM(G29:G36)</f>
        <v>0</v>
      </c>
      <c r="O37" s="268">
        <v>4</v>
      </c>
      <c r="BA37" s="269">
        <f>SUM(BA29:BA36)</f>
        <v>0</v>
      </c>
      <c r="BB37" s="269">
        <f>SUM(BB29:BB36)</f>
        <v>0</v>
      </c>
      <c r="BC37" s="269">
        <f>SUM(BC29:BC36)</f>
        <v>0</v>
      </c>
      <c r="BD37" s="269">
        <f>SUM(BD29:BD36)</f>
        <v>0</v>
      </c>
      <c r="BE37" s="269">
        <f>SUM(BE29:BE36)</f>
        <v>0</v>
      </c>
    </row>
    <row r="38" spans="1:15" ht="12.75">
      <c r="A38" s="1528" t="s">
        <v>140</v>
      </c>
      <c r="B38" s="1529" t="s">
        <v>463</v>
      </c>
      <c r="C38" s="1530" t="s">
        <v>563</v>
      </c>
      <c r="D38" s="1531"/>
      <c r="E38" s="1532"/>
      <c r="F38" s="1532"/>
      <c r="G38" s="1533"/>
      <c r="H38" s="267"/>
      <c r="I38" s="267"/>
      <c r="O38" s="268">
        <v>1</v>
      </c>
    </row>
    <row r="39" spans="1:104" ht="12.75">
      <c r="A39" s="1534">
        <v>16</v>
      </c>
      <c r="B39" s="1535" t="s">
        <v>581</v>
      </c>
      <c r="C39" s="1536" t="s">
        <v>2302</v>
      </c>
      <c r="D39" s="1537" t="s">
        <v>145</v>
      </c>
      <c r="E39" s="1538">
        <v>0.48</v>
      </c>
      <c r="F39" s="1538">
        <v>0</v>
      </c>
      <c r="G39" s="1539">
        <f>E39*F39</f>
        <v>0</v>
      </c>
      <c r="O39" s="268">
        <v>2</v>
      </c>
      <c r="AA39" s="266">
        <v>1</v>
      </c>
      <c r="AB39" s="266">
        <v>1</v>
      </c>
      <c r="AC39" s="266">
        <v>1</v>
      </c>
      <c r="AZ39" s="266">
        <v>1</v>
      </c>
      <c r="BA39" s="266">
        <f>IF(AZ39=1,G39,0)</f>
        <v>0</v>
      </c>
      <c r="BB39" s="266">
        <f>IF(AZ39=2,G39,0)</f>
        <v>0</v>
      </c>
      <c r="BC39" s="266">
        <f>IF(AZ39=3,G39,0)</f>
        <v>0</v>
      </c>
      <c r="BD39" s="266">
        <f>IF(AZ39=4,G39,0)</f>
        <v>0</v>
      </c>
      <c r="BE39" s="266">
        <f>IF(AZ39=5,G39,0)</f>
        <v>0</v>
      </c>
      <c r="CA39" s="268">
        <v>1</v>
      </c>
      <c r="CB39" s="268">
        <v>1</v>
      </c>
      <c r="CZ39" s="266">
        <v>0.00782</v>
      </c>
    </row>
    <row r="40" spans="1:104" ht="12.75">
      <c r="A40" s="1534">
        <v>17</v>
      </c>
      <c r="B40" s="1535" t="s">
        <v>586</v>
      </c>
      <c r="C40" s="1536" t="s">
        <v>2304</v>
      </c>
      <c r="D40" s="1537" t="s">
        <v>145</v>
      </c>
      <c r="E40" s="1538">
        <v>0.48</v>
      </c>
      <c r="F40" s="1538">
        <v>0</v>
      </c>
      <c r="G40" s="1539">
        <f>E40*F40</f>
        <v>0</v>
      </c>
      <c r="O40" s="268">
        <v>2</v>
      </c>
      <c r="AA40" s="266">
        <v>1</v>
      </c>
      <c r="AB40" s="266">
        <v>1</v>
      </c>
      <c r="AC40" s="266">
        <v>1</v>
      </c>
      <c r="AZ40" s="266">
        <v>1</v>
      </c>
      <c r="BA40" s="266">
        <f>IF(AZ40=1,G40,0)</f>
        <v>0</v>
      </c>
      <c r="BB40" s="266">
        <f>IF(AZ40=2,G40,0)</f>
        <v>0</v>
      </c>
      <c r="BC40" s="266">
        <f>IF(AZ40=3,G40,0)</f>
        <v>0</v>
      </c>
      <c r="BD40" s="266">
        <f>IF(AZ40=4,G40,0)</f>
        <v>0</v>
      </c>
      <c r="BE40" s="266">
        <f>IF(AZ40=5,G40,0)</f>
        <v>0</v>
      </c>
      <c r="CA40" s="268">
        <v>1</v>
      </c>
      <c r="CB40" s="268">
        <v>1</v>
      </c>
      <c r="CZ40" s="266">
        <v>0</v>
      </c>
    </row>
    <row r="41" spans="1:57" ht="12.75">
      <c r="A41" s="1546"/>
      <c r="B41" s="1387" t="s">
        <v>175</v>
      </c>
      <c r="C41" s="1374" t="str">
        <f>CONCATENATE(B38," ",C38)</f>
        <v>4 Vodorovné konstrukce</v>
      </c>
      <c r="D41" s="1531"/>
      <c r="E41" s="1547"/>
      <c r="F41" s="1548"/>
      <c r="G41" s="1549">
        <f>SUM(G38:G40)</f>
        <v>0</v>
      </c>
      <c r="O41" s="268">
        <v>4</v>
      </c>
      <c r="BA41" s="269">
        <f>SUM(BA38:BA40)</f>
        <v>0</v>
      </c>
      <c r="BB41" s="269">
        <f>SUM(BB38:BB40)</f>
        <v>0</v>
      </c>
      <c r="BC41" s="269">
        <f>SUM(BC38:BC40)</f>
        <v>0</v>
      </c>
      <c r="BD41" s="269">
        <f>SUM(BD38:BD40)</f>
        <v>0</v>
      </c>
      <c r="BE41" s="269">
        <f>SUM(BE38:BE40)</f>
        <v>0</v>
      </c>
    </row>
    <row r="42" spans="1:15" ht="12.75">
      <c r="A42" s="1528" t="s">
        <v>140</v>
      </c>
      <c r="B42" s="1529" t="s">
        <v>639</v>
      </c>
      <c r="C42" s="1530" t="s">
        <v>640</v>
      </c>
      <c r="D42" s="1531"/>
      <c r="E42" s="1532"/>
      <c r="F42" s="1532"/>
      <c r="G42" s="1533"/>
      <c r="H42" s="267"/>
      <c r="I42" s="267"/>
      <c r="O42" s="268">
        <v>1</v>
      </c>
    </row>
    <row r="43" spans="1:104" ht="12.75">
      <c r="A43" s="1534">
        <v>18</v>
      </c>
      <c r="B43" s="1535" t="s">
        <v>2315</v>
      </c>
      <c r="C43" s="1536" t="s">
        <v>2316</v>
      </c>
      <c r="D43" s="1537" t="s">
        <v>154</v>
      </c>
      <c r="E43" s="1538">
        <v>-0.086</v>
      </c>
      <c r="F43" s="1538">
        <v>0</v>
      </c>
      <c r="G43" s="1539">
        <f>E43*F43</f>
        <v>0</v>
      </c>
      <c r="O43" s="268">
        <v>2</v>
      </c>
      <c r="AA43" s="266">
        <v>1</v>
      </c>
      <c r="AB43" s="266">
        <v>1</v>
      </c>
      <c r="AC43" s="266">
        <v>1</v>
      </c>
      <c r="AZ43" s="266">
        <v>1</v>
      </c>
      <c r="BA43" s="266">
        <f>IF(AZ43=1,G43,0)</f>
        <v>0</v>
      </c>
      <c r="BB43" s="266">
        <f>IF(AZ43=2,G43,0)</f>
        <v>0</v>
      </c>
      <c r="BC43" s="266">
        <f>IF(AZ43=3,G43,0)</f>
        <v>0</v>
      </c>
      <c r="BD43" s="266">
        <f>IF(AZ43=4,G43,0)</f>
        <v>0</v>
      </c>
      <c r="BE43" s="266">
        <f>IF(AZ43=5,G43,0)</f>
        <v>0</v>
      </c>
      <c r="CA43" s="268">
        <v>1</v>
      </c>
      <c r="CB43" s="268">
        <v>1</v>
      </c>
      <c r="CZ43" s="266">
        <v>2.525</v>
      </c>
    </row>
    <row r="44" spans="1:104" ht="20.4">
      <c r="A44" s="1534">
        <v>19</v>
      </c>
      <c r="B44" s="1535" t="s">
        <v>2365</v>
      </c>
      <c r="C44" s="1536" t="s">
        <v>2364</v>
      </c>
      <c r="D44" s="1537" t="s">
        <v>166</v>
      </c>
      <c r="E44" s="1538">
        <v>0.0376</v>
      </c>
      <c r="F44" s="1538">
        <v>0</v>
      </c>
      <c r="G44" s="1539">
        <f>E44*F44</f>
        <v>0</v>
      </c>
      <c r="O44" s="268">
        <v>2</v>
      </c>
      <c r="AA44" s="266">
        <v>1</v>
      </c>
      <c r="AB44" s="266">
        <v>1</v>
      </c>
      <c r="AC44" s="266">
        <v>1</v>
      </c>
      <c r="AZ44" s="266">
        <v>1</v>
      </c>
      <c r="BA44" s="266">
        <f>IF(AZ44=1,G44,0)</f>
        <v>0</v>
      </c>
      <c r="BB44" s="266">
        <f>IF(AZ44=2,G44,0)</f>
        <v>0</v>
      </c>
      <c r="BC44" s="266">
        <f>IF(AZ44=3,G44,0)</f>
        <v>0</v>
      </c>
      <c r="BD44" s="266">
        <f>IF(AZ44=4,G44,0)</f>
        <v>0</v>
      </c>
      <c r="BE44" s="266">
        <f>IF(AZ44=5,G44,0)</f>
        <v>0</v>
      </c>
      <c r="CA44" s="268">
        <v>1</v>
      </c>
      <c r="CB44" s="268">
        <v>1</v>
      </c>
      <c r="CZ44" s="266">
        <v>1.06625</v>
      </c>
    </row>
    <row r="45" spans="1:15" ht="12.75">
      <c r="A45" s="1540"/>
      <c r="B45" s="1542"/>
      <c r="C45" s="1712" t="s">
        <v>2363</v>
      </c>
      <c r="D45" s="1713"/>
      <c r="E45" s="1543">
        <v>0.0376</v>
      </c>
      <c r="F45" s="1544"/>
      <c r="G45" s="1545"/>
      <c r="M45" s="234" t="s">
        <v>2363</v>
      </c>
      <c r="O45" s="268"/>
    </row>
    <row r="46" spans="1:57" ht="12.75">
      <c r="A46" s="1546"/>
      <c r="B46" s="1387" t="s">
        <v>175</v>
      </c>
      <c r="C46" s="1374" t="str">
        <f>CONCATENATE(B42," ",C42)</f>
        <v>63 Podlahy a podlahové konstrukce</v>
      </c>
      <c r="D46" s="1531"/>
      <c r="E46" s="1547"/>
      <c r="F46" s="1548"/>
      <c r="G46" s="1549">
        <f>SUM(G42:G45)</f>
        <v>0</v>
      </c>
      <c r="O46" s="268">
        <v>4</v>
      </c>
      <c r="BA46" s="269">
        <f>SUM(BA42:BA45)</f>
        <v>0</v>
      </c>
      <c r="BB46" s="269">
        <f>SUM(BB42:BB45)</f>
        <v>0</v>
      </c>
      <c r="BC46" s="269">
        <f>SUM(BC42:BC45)</f>
        <v>0</v>
      </c>
      <c r="BD46" s="269">
        <f>SUM(BD42:BD45)</f>
        <v>0</v>
      </c>
      <c r="BE46" s="269">
        <f>SUM(BE42:BE45)</f>
        <v>0</v>
      </c>
    </row>
    <row r="47" spans="1:15" ht="12.75">
      <c r="A47" s="1528" t="s">
        <v>140</v>
      </c>
      <c r="B47" s="1529" t="s">
        <v>2116</v>
      </c>
      <c r="C47" s="1530" t="s">
        <v>2117</v>
      </c>
      <c r="D47" s="1531"/>
      <c r="E47" s="1532"/>
      <c r="F47" s="1532"/>
      <c r="G47" s="1533"/>
      <c r="H47" s="267"/>
      <c r="I47" s="267"/>
      <c r="O47" s="268">
        <v>1</v>
      </c>
    </row>
    <row r="48" spans="1:104" ht="12.75">
      <c r="A48" s="1534">
        <v>20</v>
      </c>
      <c r="B48" s="1535" t="s">
        <v>2362</v>
      </c>
      <c r="C48" s="1536" t="s">
        <v>2361</v>
      </c>
      <c r="D48" s="1537" t="s">
        <v>231</v>
      </c>
      <c r="E48" s="1538">
        <v>0.9</v>
      </c>
      <c r="F48" s="1538">
        <v>0</v>
      </c>
      <c r="G48" s="1539">
        <f>E48*F48</f>
        <v>0</v>
      </c>
      <c r="O48" s="268">
        <v>2</v>
      </c>
      <c r="AA48" s="266">
        <v>1</v>
      </c>
      <c r="AB48" s="266">
        <v>1</v>
      </c>
      <c r="AC48" s="266">
        <v>1</v>
      </c>
      <c r="AZ48" s="266">
        <v>1</v>
      </c>
      <c r="BA48" s="266">
        <f>IF(AZ48=1,G48,0)</f>
        <v>0</v>
      </c>
      <c r="BB48" s="266">
        <f>IF(AZ48=2,G48,0)</f>
        <v>0</v>
      </c>
      <c r="BC48" s="266">
        <f>IF(AZ48=3,G48,0)</f>
        <v>0</v>
      </c>
      <c r="BD48" s="266">
        <f>IF(AZ48=4,G48,0)</f>
        <v>0</v>
      </c>
      <c r="BE48" s="266">
        <f>IF(AZ48=5,G48,0)</f>
        <v>0</v>
      </c>
      <c r="CA48" s="268">
        <v>1</v>
      </c>
      <c r="CB48" s="268">
        <v>1</v>
      </c>
      <c r="CZ48" s="266">
        <v>0</v>
      </c>
    </row>
    <row r="49" spans="1:15" ht="12.75">
      <c r="A49" s="1540"/>
      <c r="B49" s="1542"/>
      <c r="C49" s="1712" t="s">
        <v>2360</v>
      </c>
      <c r="D49" s="1713"/>
      <c r="E49" s="1543">
        <v>0.6</v>
      </c>
      <c r="F49" s="1544"/>
      <c r="G49" s="1545"/>
      <c r="M49" s="234" t="s">
        <v>2360</v>
      </c>
      <c r="O49" s="268"/>
    </row>
    <row r="50" spans="1:15" ht="12.75">
      <c r="A50" s="1540"/>
      <c r="B50" s="1542"/>
      <c r="C50" s="1712" t="s">
        <v>2359</v>
      </c>
      <c r="D50" s="1713"/>
      <c r="E50" s="1543">
        <v>0.3</v>
      </c>
      <c r="F50" s="1544"/>
      <c r="G50" s="1545"/>
      <c r="M50" s="234" t="s">
        <v>2359</v>
      </c>
      <c r="O50" s="268"/>
    </row>
    <row r="51" spans="1:57" ht="12.75">
      <c r="A51" s="1546"/>
      <c r="B51" s="1387" t="s">
        <v>175</v>
      </c>
      <c r="C51" s="1374" t="str">
        <f>CONCATENATE(B47," ",C47)</f>
        <v>97 Prorážení otvorů</v>
      </c>
      <c r="D51" s="1531"/>
      <c r="E51" s="1547"/>
      <c r="F51" s="1548"/>
      <c r="G51" s="1549">
        <f>SUM(G47:G50)</f>
        <v>0</v>
      </c>
      <c r="O51" s="268">
        <v>4</v>
      </c>
      <c r="BA51" s="269">
        <f>SUM(BA47:BA50)</f>
        <v>0</v>
      </c>
      <c r="BB51" s="269">
        <f>SUM(BB47:BB50)</f>
        <v>0</v>
      </c>
      <c r="BC51" s="269">
        <f>SUM(BC47:BC50)</f>
        <v>0</v>
      </c>
      <c r="BD51" s="269">
        <f>SUM(BD47:BD50)</f>
        <v>0</v>
      </c>
      <c r="BE51" s="269">
        <f>SUM(BE47:BE50)</f>
        <v>0</v>
      </c>
    </row>
    <row r="52" spans="1:15" ht="12.75">
      <c r="A52" s="1528" t="s">
        <v>140</v>
      </c>
      <c r="B52" s="1529" t="s">
        <v>234</v>
      </c>
      <c r="C52" s="1530" t="s">
        <v>235</v>
      </c>
      <c r="D52" s="1531"/>
      <c r="E52" s="1532"/>
      <c r="F52" s="1532"/>
      <c r="G52" s="1533"/>
      <c r="H52" s="267"/>
      <c r="I52" s="267"/>
      <c r="O52" s="268">
        <v>1</v>
      </c>
    </row>
    <row r="53" spans="1:104" ht="12.75">
      <c r="A53" s="1534">
        <v>21</v>
      </c>
      <c r="B53" s="1535" t="s">
        <v>2122</v>
      </c>
      <c r="C53" s="1536" t="s">
        <v>2123</v>
      </c>
      <c r="D53" s="1537" t="s">
        <v>166</v>
      </c>
      <c r="E53" s="1538">
        <v>10.122107736</v>
      </c>
      <c r="F53" s="1538">
        <v>0</v>
      </c>
      <c r="G53" s="1539">
        <f>E53*F53</f>
        <v>0</v>
      </c>
      <c r="O53" s="268">
        <v>2</v>
      </c>
      <c r="AA53" s="266">
        <v>7</v>
      </c>
      <c r="AB53" s="266">
        <v>1</v>
      </c>
      <c r="AC53" s="266">
        <v>2</v>
      </c>
      <c r="AZ53" s="266">
        <v>1</v>
      </c>
      <c r="BA53" s="266">
        <f>IF(AZ53=1,G53,0)</f>
        <v>0</v>
      </c>
      <c r="BB53" s="266">
        <f>IF(AZ53=2,G53,0)</f>
        <v>0</v>
      </c>
      <c r="BC53" s="266">
        <f>IF(AZ53=3,G53,0)</f>
        <v>0</v>
      </c>
      <c r="BD53" s="266">
        <f>IF(AZ53=4,G53,0)</f>
        <v>0</v>
      </c>
      <c r="BE53" s="266">
        <f>IF(AZ53=5,G53,0)</f>
        <v>0</v>
      </c>
      <c r="CA53" s="268">
        <v>7</v>
      </c>
      <c r="CB53" s="268">
        <v>1</v>
      </c>
      <c r="CZ53" s="266">
        <v>0</v>
      </c>
    </row>
    <row r="54" spans="1:57" ht="12.75">
      <c r="A54" s="1546"/>
      <c r="B54" s="1387" t="s">
        <v>175</v>
      </c>
      <c r="C54" s="1374" t="str">
        <f>CONCATENATE(B52," ",C52)</f>
        <v>99 Staveništní přesun hmot</v>
      </c>
      <c r="D54" s="1531"/>
      <c r="E54" s="1547"/>
      <c r="F54" s="1548"/>
      <c r="G54" s="1549">
        <f>SUM(G52:G53)</f>
        <v>0</v>
      </c>
      <c r="O54" s="268">
        <v>4</v>
      </c>
      <c r="BA54" s="269">
        <f>SUM(BA52:BA53)</f>
        <v>0</v>
      </c>
      <c r="BB54" s="269">
        <f>SUM(BB52:BB53)</f>
        <v>0</v>
      </c>
      <c r="BC54" s="269">
        <f>SUM(BC52:BC53)</f>
        <v>0</v>
      </c>
      <c r="BD54" s="269">
        <f>SUM(BD52:BD53)</f>
        <v>0</v>
      </c>
      <c r="BE54" s="269">
        <f>SUM(BE52:BE53)</f>
        <v>0</v>
      </c>
    </row>
    <row r="55" spans="1:15" ht="12.75">
      <c r="A55" s="1528" t="s">
        <v>140</v>
      </c>
      <c r="B55" s="1529" t="s">
        <v>667</v>
      </c>
      <c r="C55" s="1530" t="s">
        <v>668</v>
      </c>
      <c r="D55" s="1531"/>
      <c r="E55" s="1532"/>
      <c r="F55" s="1532"/>
      <c r="G55" s="1533"/>
      <c r="H55" s="267"/>
      <c r="I55" s="267"/>
      <c r="O55" s="268">
        <v>1</v>
      </c>
    </row>
    <row r="56" spans="1:104" ht="20.4">
      <c r="A56" s="1534">
        <v>22</v>
      </c>
      <c r="B56" s="1535" t="s">
        <v>669</v>
      </c>
      <c r="C56" s="1536" t="s">
        <v>670</v>
      </c>
      <c r="D56" s="1537" t="s">
        <v>145</v>
      </c>
      <c r="E56" s="1538">
        <v>-8.16</v>
      </c>
      <c r="F56" s="1538">
        <v>0</v>
      </c>
      <c r="G56" s="1539">
        <f aca="true" t="shared" si="6" ref="G56:G63">E56*F56</f>
        <v>0</v>
      </c>
      <c r="O56" s="268">
        <v>2</v>
      </c>
      <c r="AA56" s="266">
        <v>1</v>
      </c>
      <c r="AB56" s="266">
        <v>7</v>
      </c>
      <c r="AC56" s="266">
        <v>7</v>
      </c>
      <c r="AZ56" s="266">
        <v>2</v>
      </c>
      <c r="BA56" s="266">
        <f aca="true" t="shared" si="7" ref="BA56:BA63">IF(AZ56=1,G56,0)</f>
        <v>0</v>
      </c>
      <c r="BB56" s="266">
        <f aca="true" t="shared" si="8" ref="BB56:BB63">IF(AZ56=2,G56,0)</f>
        <v>0</v>
      </c>
      <c r="BC56" s="266">
        <f aca="true" t="shared" si="9" ref="BC56:BC63">IF(AZ56=3,G56,0)</f>
        <v>0</v>
      </c>
      <c r="BD56" s="266">
        <f aca="true" t="shared" si="10" ref="BD56:BD63">IF(AZ56=4,G56,0)</f>
        <v>0</v>
      </c>
      <c r="BE56" s="266">
        <f aca="true" t="shared" si="11" ref="BE56:BE63">IF(AZ56=5,G56,0)</f>
        <v>0</v>
      </c>
      <c r="CA56" s="268">
        <v>1</v>
      </c>
      <c r="CB56" s="268">
        <v>7</v>
      </c>
      <c r="CZ56" s="266">
        <v>0.0004</v>
      </c>
    </row>
    <row r="57" spans="1:104" ht="20.4">
      <c r="A57" s="1534">
        <v>23</v>
      </c>
      <c r="B57" s="1535" t="s">
        <v>673</v>
      </c>
      <c r="C57" s="1536" t="s">
        <v>674</v>
      </c>
      <c r="D57" s="1537" t="s">
        <v>145</v>
      </c>
      <c r="E57" s="1538">
        <v>5.64</v>
      </c>
      <c r="F57" s="1538">
        <v>0</v>
      </c>
      <c r="G57" s="1539">
        <f t="shared" si="6"/>
        <v>0</v>
      </c>
      <c r="O57" s="268">
        <v>2</v>
      </c>
      <c r="AA57" s="266">
        <v>1</v>
      </c>
      <c r="AB57" s="266">
        <v>7</v>
      </c>
      <c r="AC57" s="266">
        <v>7</v>
      </c>
      <c r="AZ57" s="266">
        <v>2</v>
      </c>
      <c r="BA57" s="266">
        <f t="shared" si="7"/>
        <v>0</v>
      </c>
      <c r="BB57" s="266">
        <f t="shared" si="8"/>
        <v>0</v>
      </c>
      <c r="BC57" s="266">
        <f t="shared" si="9"/>
        <v>0</v>
      </c>
      <c r="BD57" s="266">
        <f t="shared" si="10"/>
        <v>0</v>
      </c>
      <c r="BE57" s="266">
        <f t="shared" si="11"/>
        <v>0</v>
      </c>
      <c r="CA57" s="268">
        <v>1</v>
      </c>
      <c r="CB57" s="268">
        <v>7</v>
      </c>
      <c r="CZ57" s="266">
        <v>0.00067</v>
      </c>
    </row>
    <row r="58" spans="1:104" ht="20.4">
      <c r="A58" s="1534">
        <v>24</v>
      </c>
      <c r="B58" s="1535" t="s">
        <v>2332</v>
      </c>
      <c r="C58" s="1536" t="s">
        <v>2333</v>
      </c>
      <c r="D58" s="1537" t="s">
        <v>145</v>
      </c>
      <c r="E58" s="1538">
        <v>-2.64</v>
      </c>
      <c r="F58" s="1538">
        <v>0</v>
      </c>
      <c r="G58" s="1539">
        <f t="shared" si="6"/>
        <v>0</v>
      </c>
      <c r="O58" s="268">
        <v>2</v>
      </c>
      <c r="AA58" s="266">
        <v>1</v>
      </c>
      <c r="AB58" s="266">
        <v>7</v>
      </c>
      <c r="AC58" s="266">
        <v>7</v>
      </c>
      <c r="AZ58" s="266">
        <v>2</v>
      </c>
      <c r="BA58" s="266">
        <f t="shared" si="7"/>
        <v>0</v>
      </c>
      <c r="BB58" s="266">
        <f t="shared" si="8"/>
        <v>0</v>
      </c>
      <c r="BC58" s="266">
        <f t="shared" si="9"/>
        <v>0</v>
      </c>
      <c r="BD58" s="266">
        <f t="shared" si="10"/>
        <v>0</v>
      </c>
      <c r="BE58" s="266">
        <f t="shared" si="11"/>
        <v>0</v>
      </c>
      <c r="CA58" s="268">
        <v>1</v>
      </c>
      <c r="CB58" s="268">
        <v>7</v>
      </c>
      <c r="CZ58" s="266">
        <v>0</v>
      </c>
    </row>
    <row r="59" spans="1:104" ht="20.4">
      <c r="A59" s="1534">
        <v>25</v>
      </c>
      <c r="B59" s="1535" t="s">
        <v>677</v>
      </c>
      <c r="C59" s="1536" t="s">
        <v>678</v>
      </c>
      <c r="D59" s="1537" t="s">
        <v>145</v>
      </c>
      <c r="E59" s="1538">
        <v>-4.08</v>
      </c>
      <c r="F59" s="1538">
        <v>0</v>
      </c>
      <c r="G59" s="1539">
        <f t="shared" si="6"/>
        <v>0</v>
      </c>
      <c r="O59" s="268">
        <v>2</v>
      </c>
      <c r="AA59" s="266">
        <v>1</v>
      </c>
      <c r="AB59" s="266">
        <v>7</v>
      </c>
      <c r="AC59" s="266">
        <v>7</v>
      </c>
      <c r="AZ59" s="266">
        <v>2</v>
      </c>
      <c r="BA59" s="266">
        <f t="shared" si="7"/>
        <v>0</v>
      </c>
      <c r="BB59" s="266">
        <f t="shared" si="8"/>
        <v>0</v>
      </c>
      <c r="BC59" s="266">
        <f t="shared" si="9"/>
        <v>0</v>
      </c>
      <c r="BD59" s="266">
        <f t="shared" si="10"/>
        <v>0</v>
      </c>
      <c r="BE59" s="266">
        <f t="shared" si="11"/>
        <v>0</v>
      </c>
      <c r="CA59" s="268">
        <v>1</v>
      </c>
      <c r="CB59" s="268">
        <v>7</v>
      </c>
      <c r="CZ59" s="266">
        <v>0.0057</v>
      </c>
    </row>
    <row r="60" spans="1:104" ht="20.4">
      <c r="A60" s="1534">
        <v>26</v>
      </c>
      <c r="B60" s="1535" t="s">
        <v>679</v>
      </c>
      <c r="C60" s="1536" t="s">
        <v>680</v>
      </c>
      <c r="D60" s="1537" t="s">
        <v>145</v>
      </c>
      <c r="E60" s="1538">
        <v>-5.64</v>
      </c>
      <c r="F60" s="1538">
        <v>0</v>
      </c>
      <c r="G60" s="1539">
        <f t="shared" si="6"/>
        <v>0</v>
      </c>
      <c r="O60" s="268">
        <v>2</v>
      </c>
      <c r="AA60" s="266">
        <v>1</v>
      </c>
      <c r="AB60" s="266">
        <v>7</v>
      </c>
      <c r="AC60" s="266">
        <v>7</v>
      </c>
      <c r="AZ60" s="266">
        <v>2</v>
      </c>
      <c r="BA60" s="266">
        <f t="shared" si="7"/>
        <v>0</v>
      </c>
      <c r="BB60" s="266">
        <f t="shared" si="8"/>
        <v>0</v>
      </c>
      <c r="BC60" s="266">
        <f t="shared" si="9"/>
        <v>0</v>
      </c>
      <c r="BD60" s="266">
        <f t="shared" si="10"/>
        <v>0</v>
      </c>
      <c r="BE60" s="266">
        <f t="shared" si="11"/>
        <v>0</v>
      </c>
      <c r="CA60" s="268">
        <v>1</v>
      </c>
      <c r="CB60" s="268">
        <v>7</v>
      </c>
      <c r="CZ60" s="266">
        <v>0.0061</v>
      </c>
    </row>
    <row r="61" spans="1:104" ht="12.75">
      <c r="A61" s="1534">
        <v>27</v>
      </c>
      <c r="B61" s="1535" t="s">
        <v>2338</v>
      </c>
      <c r="C61" s="1536" t="s">
        <v>2339</v>
      </c>
      <c r="D61" s="1537" t="s">
        <v>145</v>
      </c>
      <c r="E61" s="1538">
        <v>-1.36</v>
      </c>
      <c r="F61" s="1538">
        <v>0</v>
      </c>
      <c r="G61" s="1539">
        <f t="shared" si="6"/>
        <v>0</v>
      </c>
      <c r="O61" s="268">
        <v>2</v>
      </c>
      <c r="AA61" s="266">
        <v>1</v>
      </c>
      <c r="AB61" s="266">
        <v>7</v>
      </c>
      <c r="AC61" s="266">
        <v>7</v>
      </c>
      <c r="AZ61" s="266">
        <v>2</v>
      </c>
      <c r="BA61" s="266">
        <f t="shared" si="7"/>
        <v>0</v>
      </c>
      <c r="BB61" s="266">
        <f t="shared" si="8"/>
        <v>0</v>
      </c>
      <c r="BC61" s="266">
        <f t="shared" si="9"/>
        <v>0</v>
      </c>
      <c r="BD61" s="266">
        <f t="shared" si="10"/>
        <v>0</v>
      </c>
      <c r="BE61" s="266">
        <f t="shared" si="11"/>
        <v>0</v>
      </c>
      <c r="CA61" s="268">
        <v>1</v>
      </c>
      <c r="CB61" s="268">
        <v>7</v>
      </c>
      <c r="CZ61" s="266">
        <v>0.00284</v>
      </c>
    </row>
    <row r="62" spans="1:104" ht="12.75">
      <c r="A62" s="1534">
        <v>28</v>
      </c>
      <c r="B62" s="1535" t="s">
        <v>2340</v>
      </c>
      <c r="C62" s="1536" t="s">
        <v>2341</v>
      </c>
      <c r="D62" s="1537" t="s">
        <v>145</v>
      </c>
      <c r="E62" s="1538">
        <v>-6.34</v>
      </c>
      <c r="F62" s="1538">
        <v>0</v>
      </c>
      <c r="G62" s="1539">
        <f t="shared" si="6"/>
        <v>0</v>
      </c>
      <c r="O62" s="268">
        <v>2</v>
      </c>
      <c r="AA62" s="266">
        <v>3</v>
      </c>
      <c r="AB62" s="266">
        <v>7</v>
      </c>
      <c r="AC62" s="266">
        <v>6281</v>
      </c>
      <c r="AZ62" s="266">
        <v>2</v>
      </c>
      <c r="BA62" s="266">
        <f t="shared" si="7"/>
        <v>0</v>
      </c>
      <c r="BB62" s="266">
        <f t="shared" si="8"/>
        <v>0</v>
      </c>
      <c r="BC62" s="266">
        <f t="shared" si="9"/>
        <v>0</v>
      </c>
      <c r="BD62" s="266">
        <f t="shared" si="10"/>
        <v>0</v>
      </c>
      <c r="BE62" s="266">
        <f t="shared" si="11"/>
        <v>0</v>
      </c>
      <c r="CA62" s="268">
        <v>3</v>
      </c>
      <c r="CB62" s="268">
        <v>7</v>
      </c>
      <c r="CZ62" s="266">
        <v>0</v>
      </c>
    </row>
    <row r="63" spans="1:104" ht="12.75">
      <c r="A63" s="1534">
        <v>29</v>
      </c>
      <c r="B63" s="1535" t="s">
        <v>695</v>
      </c>
      <c r="C63" s="1536" t="s">
        <v>696</v>
      </c>
      <c r="D63" s="1537" t="s">
        <v>9</v>
      </c>
      <c r="E63" s="1538"/>
      <c r="F63" s="1538">
        <v>0</v>
      </c>
      <c r="G63" s="1539">
        <f t="shared" si="6"/>
        <v>0</v>
      </c>
      <c r="O63" s="268">
        <v>2</v>
      </c>
      <c r="AA63" s="266">
        <v>7</v>
      </c>
      <c r="AB63" s="266">
        <v>1002</v>
      </c>
      <c r="AC63" s="266">
        <v>5</v>
      </c>
      <c r="AZ63" s="266">
        <v>2</v>
      </c>
      <c r="BA63" s="266">
        <f t="shared" si="7"/>
        <v>0</v>
      </c>
      <c r="BB63" s="266">
        <f t="shared" si="8"/>
        <v>0</v>
      </c>
      <c r="BC63" s="266">
        <f t="shared" si="9"/>
        <v>0</v>
      </c>
      <c r="BD63" s="266">
        <f t="shared" si="10"/>
        <v>0</v>
      </c>
      <c r="BE63" s="266">
        <f t="shared" si="11"/>
        <v>0</v>
      </c>
      <c r="CA63" s="268">
        <v>7</v>
      </c>
      <c r="CB63" s="268">
        <v>1002</v>
      </c>
      <c r="CZ63" s="266">
        <v>0</v>
      </c>
    </row>
    <row r="64" spans="1:57" ht="12.75">
      <c r="A64" s="1546"/>
      <c r="B64" s="1387" t="s">
        <v>175</v>
      </c>
      <c r="C64" s="1374" t="str">
        <f>CONCATENATE(B55," ",C55)</f>
        <v>711 Izolace proti vodě</v>
      </c>
      <c r="D64" s="1531"/>
      <c r="E64" s="1547"/>
      <c r="F64" s="1548"/>
      <c r="G64" s="1549">
        <f>SUM(G55:G63)</f>
        <v>0</v>
      </c>
      <c r="O64" s="268">
        <v>4</v>
      </c>
      <c r="BA64" s="269">
        <f>SUM(BA55:BA63)</f>
        <v>0</v>
      </c>
      <c r="BB64" s="269">
        <f>SUM(BB55:BB63)</f>
        <v>0</v>
      </c>
      <c r="BC64" s="269">
        <f>SUM(BC55:BC63)</f>
        <v>0</v>
      </c>
      <c r="BD64" s="269">
        <f>SUM(BD55:BD63)</f>
        <v>0</v>
      </c>
      <c r="BE64" s="269">
        <f>SUM(BE55:BE63)</f>
        <v>0</v>
      </c>
    </row>
    <row r="65" ht="12.75">
      <c r="E65" s="266"/>
    </row>
    <row r="66" ht="12.75">
      <c r="E66" s="266"/>
    </row>
    <row r="67" ht="12.75">
      <c r="E67" s="266"/>
    </row>
    <row r="68" ht="12.75">
      <c r="E68" s="266"/>
    </row>
    <row r="69" ht="12.75">
      <c r="E69" s="266"/>
    </row>
    <row r="70" ht="12.75">
      <c r="E70" s="266"/>
    </row>
    <row r="71" ht="12.75">
      <c r="E71" s="266"/>
    </row>
    <row r="72" ht="12.75">
      <c r="E72" s="266"/>
    </row>
    <row r="73" ht="12.75">
      <c r="E73" s="266"/>
    </row>
    <row r="74" ht="12.75">
      <c r="E74" s="266"/>
    </row>
    <row r="75" ht="12.75">
      <c r="E75" s="266"/>
    </row>
    <row r="76" ht="12.75">
      <c r="E76" s="266"/>
    </row>
    <row r="77" ht="12.75">
      <c r="E77" s="266"/>
    </row>
    <row r="78" ht="12.75">
      <c r="E78" s="266"/>
    </row>
    <row r="79" ht="12.75">
      <c r="E79" s="266"/>
    </row>
    <row r="80" ht="12.75">
      <c r="E80" s="266"/>
    </row>
    <row r="81" ht="12.75">
      <c r="E81" s="266"/>
    </row>
    <row r="82" ht="12.75">
      <c r="E82" s="266"/>
    </row>
    <row r="83" ht="12.75">
      <c r="E83" s="266"/>
    </row>
    <row r="84" ht="12.75">
      <c r="E84" s="266"/>
    </row>
    <row r="85" ht="12.75">
      <c r="E85" s="266"/>
    </row>
    <row r="86" ht="12.75">
      <c r="E86" s="266"/>
    </row>
    <row r="87" ht="12.75">
      <c r="E87" s="266"/>
    </row>
    <row r="88" spans="1:7" ht="12.75">
      <c r="A88" s="270"/>
      <c r="B88" s="270"/>
      <c r="C88" s="270"/>
      <c r="D88" s="270"/>
      <c r="E88" s="270"/>
      <c r="F88" s="270"/>
      <c r="G88" s="270"/>
    </row>
    <row r="89" spans="1:7" ht="12.75">
      <c r="A89" s="270"/>
      <c r="B89" s="270"/>
      <c r="C89" s="270"/>
      <c r="D89" s="270"/>
      <c r="E89" s="270"/>
      <c r="F89" s="270"/>
      <c r="G89" s="270"/>
    </row>
    <row r="90" spans="1:7" ht="12.75">
      <c r="A90" s="270"/>
      <c r="B90" s="270"/>
      <c r="C90" s="270"/>
      <c r="D90" s="270"/>
      <c r="E90" s="270"/>
      <c r="F90" s="270"/>
      <c r="G90" s="270"/>
    </row>
    <row r="91" spans="1:7" ht="12.75">
      <c r="A91" s="270"/>
      <c r="B91" s="270"/>
      <c r="C91" s="270"/>
      <c r="D91" s="270"/>
      <c r="E91" s="270"/>
      <c r="F91" s="270"/>
      <c r="G91" s="270"/>
    </row>
    <row r="92" ht="12.75">
      <c r="E92" s="266"/>
    </row>
    <row r="93" ht="12.75">
      <c r="E93" s="266"/>
    </row>
    <row r="94" ht="12.75">
      <c r="E94" s="266"/>
    </row>
    <row r="95" ht="12.75">
      <c r="E95" s="266"/>
    </row>
    <row r="96" ht="12.75">
      <c r="E96" s="266"/>
    </row>
    <row r="97" ht="12.75">
      <c r="E97" s="266"/>
    </row>
    <row r="98" ht="12.75">
      <c r="E98" s="266"/>
    </row>
    <row r="99" ht="12.75">
      <c r="E99" s="266"/>
    </row>
    <row r="100" ht="12.75">
      <c r="E100" s="266"/>
    </row>
    <row r="101" ht="12.75">
      <c r="E101" s="266"/>
    </row>
    <row r="102" ht="12.75">
      <c r="E102" s="266"/>
    </row>
    <row r="103" ht="12.75">
      <c r="E103" s="266"/>
    </row>
    <row r="104" ht="12.75">
      <c r="E104" s="266"/>
    </row>
    <row r="105" ht="12.75">
      <c r="E105" s="266"/>
    </row>
    <row r="106" ht="12.75">
      <c r="E106" s="266"/>
    </row>
    <row r="107" ht="12.75">
      <c r="E107" s="266"/>
    </row>
    <row r="108" ht="12.75">
      <c r="E108" s="266"/>
    </row>
    <row r="109" ht="12.75">
      <c r="E109" s="266"/>
    </row>
    <row r="110" ht="12.75">
      <c r="E110" s="266"/>
    </row>
    <row r="111" ht="12.75">
      <c r="E111" s="266"/>
    </row>
    <row r="112" ht="12.75">
      <c r="E112" s="266"/>
    </row>
    <row r="113" ht="12.75">
      <c r="E113" s="266"/>
    </row>
    <row r="114" ht="12.75">
      <c r="E114" s="266"/>
    </row>
    <row r="115" ht="12.75">
      <c r="E115" s="266"/>
    </row>
    <row r="116" ht="12.75">
      <c r="E116" s="266"/>
    </row>
    <row r="117" ht="12.75">
      <c r="E117" s="266"/>
    </row>
    <row r="118" ht="12.75">
      <c r="E118" s="266"/>
    </row>
    <row r="119" ht="12.75">
      <c r="E119" s="266"/>
    </row>
    <row r="120" ht="12.75">
      <c r="E120" s="266"/>
    </row>
    <row r="121" ht="12.75">
      <c r="E121" s="266"/>
    </row>
    <row r="122" ht="12.75">
      <c r="E122" s="266"/>
    </row>
    <row r="123" spans="1:2" ht="12.75">
      <c r="A123" s="271"/>
      <c r="B123" s="271"/>
    </row>
    <row r="124" spans="1:7" ht="12.75">
      <c r="A124" s="270"/>
      <c r="B124" s="270"/>
      <c r="C124" s="273"/>
      <c r="D124" s="273"/>
      <c r="E124" s="274"/>
      <c r="F124" s="273"/>
      <c r="G124" s="275"/>
    </row>
    <row r="125" spans="1:7" ht="12.75">
      <c r="A125" s="276"/>
      <c r="B125" s="276"/>
      <c r="C125" s="270"/>
      <c r="D125" s="270"/>
      <c r="E125" s="277"/>
      <c r="F125" s="270"/>
      <c r="G125" s="270"/>
    </row>
    <row r="126" spans="1:7" ht="12.75">
      <c r="A126" s="270"/>
      <c r="B126" s="270"/>
      <c r="C126" s="270"/>
      <c r="D126" s="270"/>
      <c r="E126" s="277"/>
      <c r="F126" s="270"/>
      <c r="G126" s="270"/>
    </row>
    <row r="127" spans="1:7" ht="12.75">
      <c r="A127" s="270"/>
      <c r="B127" s="270"/>
      <c r="C127" s="270"/>
      <c r="D127" s="270"/>
      <c r="E127" s="277"/>
      <c r="F127" s="270"/>
      <c r="G127" s="270"/>
    </row>
    <row r="128" spans="1:7" ht="12.75">
      <c r="A128" s="270"/>
      <c r="B128" s="270"/>
      <c r="C128" s="270"/>
      <c r="D128" s="270"/>
      <c r="E128" s="277"/>
      <c r="F128" s="270"/>
      <c r="G128" s="270"/>
    </row>
    <row r="129" spans="1:7" ht="12.75">
      <c r="A129" s="270"/>
      <c r="B129" s="270"/>
      <c r="C129" s="270"/>
      <c r="D129" s="270"/>
      <c r="E129" s="277"/>
      <c r="F129" s="270"/>
      <c r="G129" s="270"/>
    </row>
    <row r="130" spans="1:7" ht="12.75">
      <c r="A130" s="270"/>
      <c r="B130" s="270"/>
      <c r="C130" s="270"/>
      <c r="D130" s="270"/>
      <c r="E130" s="277"/>
      <c r="F130" s="270"/>
      <c r="G130" s="270"/>
    </row>
    <row r="131" spans="1:7" ht="12.75">
      <c r="A131" s="270"/>
      <c r="B131" s="270"/>
      <c r="C131" s="270"/>
      <c r="D131" s="270"/>
      <c r="E131" s="277"/>
      <c r="F131" s="270"/>
      <c r="G131" s="270"/>
    </row>
    <row r="132" spans="1:7" ht="12.75">
      <c r="A132" s="270"/>
      <c r="B132" s="270"/>
      <c r="C132" s="270"/>
      <c r="D132" s="270"/>
      <c r="E132" s="277"/>
      <c r="F132" s="270"/>
      <c r="G132" s="270"/>
    </row>
    <row r="133" spans="1:7" ht="12.75">
      <c r="A133" s="270"/>
      <c r="B133" s="270"/>
      <c r="C133" s="270"/>
      <c r="D133" s="270"/>
      <c r="E133" s="277"/>
      <c r="F133" s="270"/>
      <c r="G133" s="270"/>
    </row>
    <row r="134" spans="1:7" ht="12.75">
      <c r="A134" s="270"/>
      <c r="B134" s="270"/>
      <c r="C134" s="270"/>
      <c r="D134" s="270"/>
      <c r="E134" s="277"/>
      <c r="F134" s="270"/>
      <c r="G134" s="270"/>
    </row>
    <row r="135" spans="1:7" ht="12.75">
      <c r="A135" s="270"/>
      <c r="B135" s="270"/>
      <c r="C135" s="270"/>
      <c r="D135" s="270"/>
      <c r="E135" s="277"/>
      <c r="F135" s="270"/>
      <c r="G135" s="270"/>
    </row>
    <row r="136" spans="1:7" ht="12.75">
      <c r="A136" s="270"/>
      <c r="B136" s="270"/>
      <c r="C136" s="270"/>
      <c r="D136" s="270"/>
      <c r="E136" s="277"/>
      <c r="F136" s="270"/>
      <c r="G136" s="270"/>
    </row>
    <row r="137" spans="1:7" ht="12.75">
      <c r="A137" s="270"/>
      <c r="B137" s="270"/>
      <c r="C137" s="270"/>
      <c r="D137" s="270"/>
      <c r="E137" s="277"/>
      <c r="F137" s="270"/>
      <c r="G137" s="270"/>
    </row>
  </sheetData>
  <mergeCells count="17">
    <mergeCell ref="C12:G12"/>
    <mergeCell ref="C15:D15"/>
    <mergeCell ref="A1:G1"/>
    <mergeCell ref="A3:B3"/>
    <mergeCell ref="A4:B4"/>
    <mergeCell ref="E4:G4"/>
    <mergeCell ref="C9:G9"/>
    <mergeCell ref="C10:D10"/>
    <mergeCell ref="C49:D49"/>
    <mergeCell ref="C50:D50"/>
    <mergeCell ref="C45:D45"/>
    <mergeCell ref="C19:D19"/>
    <mergeCell ref="C26:D26"/>
    <mergeCell ref="C33:D33"/>
    <mergeCell ref="C34:D34"/>
    <mergeCell ref="C35:D35"/>
    <mergeCell ref="C36:D3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122"/>
  <sheetViews>
    <sheetView view="pageBreakPreview" zoomScale="60" workbookViewId="0" topLeftCell="A52">
      <selection activeCell="F13" sqref="F13"/>
    </sheetView>
  </sheetViews>
  <sheetFormatPr defaultColWidth="11.50390625" defaultRowHeight="12.75"/>
  <cols>
    <col min="1" max="1" width="20.375" style="806" customWidth="1"/>
    <col min="2" max="2" width="80.625" style="1142" customWidth="1"/>
    <col min="3" max="3" width="10.00390625" style="1142" customWidth="1"/>
    <col min="4" max="4" width="6.625" style="1142" customWidth="1"/>
    <col min="5" max="5" width="16.50390625" style="1142" customWidth="1"/>
    <col min="6" max="6" width="26.50390625" style="1142" customWidth="1"/>
    <col min="7" max="7" width="16.50390625" style="1142" customWidth="1"/>
    <col min="8" max="8" width="15.00390625" style="1142" customWidth="1"/>
    <col min="9" max="9" width="16.50390625" style="1142" customWidth="1"/>
    <col min="10" max="256" width="11.50390625" style="1142" customWidth="1"/>
    <col min="257" max="257" width="20.375" style="1142" customWidth="1"/>
    <col min="258" max="258" width="80.625" style="1142" customWidth="1"/>
    <col min="259" max="259" width="10.00390625" style="1142" customWidth="1"/>
    <col min="260" max="260" width="6.625" style="1142" customWidth="1"/>
    <col min="261" max="261" width="16.50390625" style="1142" customWidth="1"/>
    <col min="262" max="262" width="20.50390625" style="1142" customWidth="1"/>
    <col min="263" max="263" width="16.50390625" style="1142" customWidth="1"/>
    <col min="264" max="264" width="15.00390625" style="1142" customWidth="1"/>
    <col min="265" max="265" width="16.50390625" style="1142" customWidth="1"/>
    <col min="266" max="512" width="11.50390625" style="1142" customWidth="1"/>
    <col min="513" max="513" width="20.375" style="1142" customWidth="1"/>
    <col min="514" max="514" width="80.625" style="1142" customWidth="1"/>
    <col min="515" max="515" width="10.00390625" style="1142" customWidth="1"/>
    <col min="516" max="516" width="6.625" style="1142" customWidth="1"/>
    <col min="517" max="517" width="16.50390625" style="1142" customWidth="1"/>
    <col min="518" max="518" width="20.50390625" style="1142" customWidth="1"/>
    <col min="519" max="519" width="16.50390625" style="1142" customWidth="1"/>
    <col min="520" max="520" width="15.00390625" style="1142" customWidth="1"/>
    <col min="521" max="521" width="16.50390625" style="1142" customWidth="1"/>
    <col min="522" max="768" width="11.50390625" style="1142" customWidth="1"/>
    <col min="769" max="769" width="20.375" style="1142" customWidth="1"/>
    <col min="770" max="770" width="80.625" style="1142" customWidth="1"/>
    <col min="771" max="771" width="10.00390625" style="1142" customWidth="1"/>
    <col min="772" max="772" width="6.625" style="1142" customWidth="1"/>
    <col min="773" max="773" width="16.50390625" style="1142" customWidth="1"/>
    <col min="774" max="774" width="20.50390625" style="1142" customWidth="1"/>
    <col min="775" max="775" width="16.50390625" style="1142" customWidth="1"/>
    <col min="776" max="776" width="15.00390625" style="1142" customWidth="1"/>
    <col min="777" max="777" width="16.50390625" style="1142" customWidth="1"/>
    <col min="778" max="1024" width="11.50390625" style="1142" customWidth="1"/>
    <col min="1025" max="1025" width="20.375" style="1142" customWidth="1"/>
    <col min="1026" max="1026" width="80.625" style="1142" customWidth="1"/>
    <col min="1027" max="1027" width="10.00390625" style="1142" customWidth="1"/>
    <col min="1028" max="1028" width="6.625" style="1142" customWidth="1"/>
    <col min="1029" max="1029" width="16.50390625" style="1142" customWidth="1"/>
    <col min="1030" max="1030" width="20.50390625" style="1142" customWidth="1"/>
    <col min="1031" max="1031" width="16.50390625" style="1142" customWidth="1"/>
    <col min="1032" max="1032" width="15.00390625" style="1142" customWidth="1"/>
    <col min="1033" max="1033" width="16.50390625" style="1142" customWidth="1"/>
    <col min="1034" max="1280" width="11.50390625" style="1142" customWidth="1"/>
    <col min="1281" max="1281" width="20.375" style="1142" customWidth="1"/>
    <col min="1282" max="1282" width="80.625" style="1142" customWidth="1"/>
    <col min="1283" max="1283" width="10.00390625" style="1142" customWidth="1"/>
    <col min="1284" max="1284" width="6.625" style="1142" customWidth="1"/>
    <col min="1285" max="1285" width="16.50390625" style="1142" customWidth="1"/>
    <col min="1286" max="1286" width="20.50390625" style="1142" customWidth="1"/>
    <col min="1287" max="1287" width="16.50390625" style="1142" customWidth="1"/>
    <col min="1288" max="1288" width="15.00390625" style="1142" customWidth="1"/>
    <col min="1289" max="1289" width="16.50390625" style="1142" customWidth="1"/>
    <col min="1290" max="1536" width="11.50390625" style="1142" customWidth="1"/>
    <col min="1537" max="1537" width="20.375" style="1142" customWidth="1"/>
    <col min="1538" max="1538" width="80.625" style="1142" customWidth="1"/>
    <col min="1539" max="1539" width="10.00390625" style="1142" customWidth="1"/>
    <col min="1540" max="1540" width="6.625" style="1142" customWidth="1"/>
    <col min="1541" max="1541" width="16.50390625" style="1142" customWidth="1"/>
    <col min="1542" max="1542" width="20.50390625" style="1142" customWidth="1"/>
    <col min="1543" max="1543" width="16.50390625" style="1142" customWidth="1"/>
    <col min="1544" max="1544" width="15.00390625" style="1142" customWidth="1"/>
    <col min="1545" max="1545" width="16.50390625" style="1142" customWidth="1"/>
    <col min="1546" max="1792" width="11.50390625" style="1142" customWidth="1"/>
    <col min="1793" max="1793" width="20.375" style="1142" customWidth="1"/>
    <col min="1794" max="1794" width="80.625" style="1142" customWidth="1"/>
    <col min="1795" max="1795" width="10.00390625" style="1142" customWidth="1"/>
    <col min="1796" max="1796" width="6.625" style="1142" customWidth="1"/>
    <col min="1797" max="1797" width="16.50390625" style="1142" customWidth="1"/>
    <col min="1798" max="1798" width="20.50390625" style="1142" customWidth="1"/>
    <col min="1799" max="1799" width="16.50390625" style="1142" customWidth="1"/>
    <col min="1800" max="1800" width="15.00390625" style="1142" customWidth="1"/>
    <col min="1801" max="1801" width="16.50390625" style="1142" customWidth="1"/>
    <col min="1802" max="2048" width="11.50390625" style="1142" customWidth="1"/>
    <col min="2049" max="2049" width="20.375" style="1142" customWidth="1"/>
    <col min="2050" max="2050" width="80.625" style="1142" customWidth="1"/>
    <col min="2051" max="2051" width="10.00390625" style="1142" customWidth="1"/>
    <col min="2052" max="2052" width="6.625" style="1142" customWidth="1"/>
    <col min="2053" max="2053" width="16.50390625" style="1142" customWidth="1"/>
    <col min="2054" max="2054" width="20.50390625" style="1142" customWidth="1"/>
    <col min="2055" max="2055" width="16.50390625" style="1142" customWidth="1"/>
    <col min="2056" max="2056" width="15.00390625" style="1142" customWidth="1"/>
    <col min="2057" max="2057" width="16.50390625" style="1142" customWidth="1"/>
    <col min="2058" max="2304" width="11.50390625" style="1142" customWidth="1"/>
    <col min="2305" max="2305" width="20.375" style="1142" customWidth="1"/>
    <col min="2306" max="2306" width="80.625" style="1142" customWidth="1"/>
    <col min="2307" max="2307" width="10.00390625" style="1142" customWidth="1"/>
    <col min="2308" max="2308" width="6.625" style="1142" customWidth="1"/>
    <col min="2309" max="2309" width="16.50390625" style="1142" customWidth="1"/>
    <col min="2310" max="2310" width="20.50390625" style="1142" customWidth="1"/>
    <col min="2311" max="2311" width="16.50390625" style="1142" customWidth="1"/>
    <col min="2312" max="2312" width="15.00390625" style="1142" customWidth="1"/>
    <col min="2313" max="2313" width="16.50390625" style="1142" customWidth="1"/>
    <col min="2314" max="2560" width="11.50390625" style="1142" customWidth="1"/>
    <col min="2561" max="2561" width="20.375" style="1142" customWidth="1"/>
    <col min="2562" max="2562" width="80.625" style="1142" customWidth="1"/>
    <col min="2563" max="2563" width="10.00390625" style="1142" customWidth="1"/>
    <col min="2564" max="2564" width="6.625" style="1142" customWidth="1"/>
    <col min="2565" max="2565" width="16.50390625" style="1142" customWidth="1"/>
    <col min="2566" max="2566" width="20.50390625" style="1142" customWidth="1"/>
    <col min="2567" max="2567" width="16.50390625" style="1142" customWidth="1"/>
    <col min="2568" max="2568" width="15.00390625" style="1142" customWidth="1"/>
    <col min="2569" max="2569" width="16.50390625" style="1142" customWidth="1"/>
    <col min="2570" max="2816" width="11.50390625" style="1142" customWidth="1"/>
    <col min="2817" max="2817" width="20.375" style="1142" customWidth="1"/>
    <col min="2818" max="2818" width="80.625" style="1142" customWidth="1"/>
    <col min="2819" max="2819" width="10.00390625" style="1142" customWidth="1"/>
    <col min="2820" max="2820" width="6.625" style="1142" customWidth="1"/>
    <col min="2821" max="2821" width="16.50390625" style="1142" customWidth="1"/>
    <col min="2822" max="2822" width="20.50390625" style="1142" customWidth="1"/>
    <col min="2823" max="2823" width="16.50390625" style="1142" customWidth="1"/>
    <col min="2824" max="2824" width="15.00390625" style="1142" customWidth="1"/>
    <col min="2825" max="2825" width="16.50390625" style="1142" customWidth="1"/>
    <col min="2826" max="3072" width="11.50390625" style="1142" customWidth="1"/>
    <col min="3073" max="3073" width="20.375" style="1142" customWidth="1"/>
    <col min="3074" max="3074" width="80.625" style="1142" customWidth="1"/>
    <col min="3075" max="3075" width="10.00390625" style="1142" customWidth="1"/>
    <col min="3076" max="3076" width="6.625" style="1142" customWidth="1"/>
    <col min="3077" max="3077" width="16.50390625" style="1142" customWidth="1"/>
    <col min="3078" max="3078" width="20.50390625" style="1142" customWidth="1"/>
    <col min="3079" max="3079" width="16.50390625" style="1142" customWidth="1"/>
    <col min="3080" max="3080" width="15.00390625" style="1142" customWidth="1"/>
    <col min="3081" max="3081" width="16.50390625" style="1142" customWidth="1"/>
    <col min="3082" max="3328" width="11.50390625" style="1142" customWidth="1"/>
    <col min="3329" max="3329" width="20.375" style="1142" customWidth="1"/>
    <col min="3330" max="3330" width="80.625" style="1142" customWidth="1"/>
    <col min="3331" max="3331" width="10.00390625" style="1142" customWidth="1"/>
    <col min="3332" max="3332" width="6.625" style="1142" customWidth="1"/>
    <col min="3333" max="3333" width="16.50390625" style="1142" customWidth="1"/>
    <col min="3334" max="3334" width="20.50390625" style="1142" customWidth="1"/>
    <col min="3335" max="3335" width="16.50390625" style="1142" customWidth="1"/>
    <col min="3336" max="3336" width="15.00390625" style="1142" customWidth="1"/>
    <col min="3337" max="3337" width="16.50390625" style="1142" customWidth="1"/>
    <col min="3338" max="3584" width="11.50390625" style="1142" customWidth="1"/>
    <col min="3585" max="3585" width="20.375" style="1142" customWidth="1"/>
    <col min="3586" max="3586" width="80.625" style="1142" customWidth="1"/>
    <col min="3587" max="3587" width="10.00390625" style="1142" customWidth="1"/>
    <col min="3588" max="3588" width="6.625" style="1142" customWidth="1"/>
    <col min="3589" max="3589" width="16.50390625" style="1142" customWidth="1"/>
    <col min="3590" max="3590" width="20.50390625" style="1142" customWidth="1"/>
    <col min="3591" max="3591" width="16.50390625" style="1142" customWidth="1"/>
    <col min="3592" max="3592" width="15.00390625" style="1142" customWidth="1"/>
    <col min="3593" max="3593" width="16.50390625" style="1142" customWidth="1"/>
    <col min="3594" max="3840" width="11.50390625" style="1142" customWidth="1"/>
    <col min="3841" max="3841" width="20.375" style="1142" customWidth="1"/>
    <col min="3842" max="3842" width="80.625" style="1142" customWidth="1"/>
    <col min="3843" max="3843" width="10.00390625" style="1142" customWidth="1"/>
    <col min="3844" max="3844" width="6.625" style="1142" customWidth="1"/>
    <col min="3845" max="3845" width="16.50390625" style="1142" customWidth="1"/>
    <col min="3846" max="3846" width="20.50390625" style="1142" customWidth="1"/>
    <col min="3847" max="3847" width="16.50390625" style="1142" customWidth="1"/>
    <col min="3848" max="3848" width="15.00390625" style="1142" customWidth="1"/>
    <col min="3849" max="3849" width="16.50390625" style="1142" customWidth="1"/>
    <col min="3850" max="4096" width="11.50390625" style="1142" customWidth="1"/>
    <col min="4097" max="4097" width="20.375" style="1142" customWidth="1"/>
    <col min="4098" max="4098" width="80.625" style="1142" customWidth="1"/>
    <col min="4099" max="4099" width="10.00390625" style="1142" customWidth="1"/>
    <col min="4100" max="4100" width="6.625" style="1142" customWidth="1"/>
    <col min="4101" max="4101" width="16.50390625" style="1142" customWidth="1"/>
    <col min="4102" max="4102" width="20.50390625" style="1142" customWidth="1"/>
    <col min="4103" max="4103" width="16.50390625" style="1142" customWidth="1"/>
    <col min="4104" max="4104" width="15.00390625" style="1142" customWidth="1"/>
    <col min="4105" max="4105" width="16.50390625" style="1142" customWidth="1"/>
    <col min="4106" max="4352" width="11.50390625" style="1142" customWidth="1"/>
    <col min="4353" max="4353" width="20.375" style="1142" customWidth="1"/>
    <col min="4354" max="4354" width="80.625" style="1142" customWidth="1"/>
    <col min="4355" max="4355" width="10.00390625" style="1142" customWidth="1"/>
    <col min="4356" max="4356" width="6.625" style="1142" customWidth="1"/>
    <col min="4357" max="4357" width="16.50390625" style="1142" customWidth="1"/>
    <col min="4358" max="4358" width="20.50390625" style="1142" customWidth="1"/>
    <col min="4359" max="4359" width="16.50390625" style="1142" customWidth="1"/>
    <col min="4360" max="4360" width="15.00390625" style="1142" customWidth="1"/>
    <col min="4361" max="4361" width="16.50390625" style="1142" customWidth="1"/>
    <col min="4362" max="4608" width="11.50390625" style="1142" customWidth="1"/>
    <col min="4609" max="4609" width="20.375" style="1142" customWidth="1"/>
    <col min="4610" max="4610" width="80.625" style="1142" customWidth="1"/>
    <col min="4611" max="4611" width="10.00390625" style="1142" customWidth="1"/>
    <col min="4612" max="4612" width="6.625" style="1142" customWidth="1"/>
    <col min="4613" max="4613" width="16.50390625" style="1142" customWidth="1"/>
    <col min="4614" max="4614" width="20.50390625" style="1142" customWidth="1"/>
    <col min="4615" max="4615" width="16.50390625" style="1142" customWidth="1"/>
    <col min="4616" max="4616" width="15.00390625" style="1142" customWidth="1"/>
    <col min="4617" max="4617" width="16.50390625" style="1142" customWidth="1"/>
    <col min="4618" max="4864" width="11.50390625" style="1142" customWidth="1"/>
    <col min="4865" max="4865" width="20.375" style="1142" customWidth="1"/>
    <col min="4866" max="4866" width="80.625" style="1142" customWidth="1"/>
    <col min="4867" max="4867" width="10.00390625" style="1142" customWidth="1"/>
    <col min="4868" max="4868" width="6.625" style="1142" customWidth="1"/>
    <col min="4869" max="4869" width="16.50390625" style="1142" customWidth="1"/>
    <col min="4870" max="4870" width="20.50390625" style="1142" customWidth="1"/>
    <col min="4871" max="4871" width="16.50390625" style="1142" customWidth="1"/>
    <col min="4872" max="4872" width="15.00390625" style="1142" customWidth="1"/>
    <col min="4873" max="4873" width="16.50390625" style="1142" customWidth="1"/>
    <col min="4874" max="5120" width="11.50390625" style="1142" customWidth="1"/>
    <col min="5121" max="5121" width="20.375" style="1142" customWidth="1"/>
    <col min="5122" max="5122" width="80.625" style="1142" customWidth="1"/>
    <col min="5123" max="5123" width="10.00390625" style="1142" customWidth="1"/>
    <col min="5124" max="5124" width="6.625" style="1142" customWidth="1"/>
    <col min="5125" max="5125" width="16.50390625" style="1142" customWidth="1"/>
    <col min="5126" max="5126" width="20.50390625" style="1142" customWidth="1"/>
    <col min="5127" max="5127" width="16.50390625" style="1142" customWidth="1"/>
    <col min="5128" max="5128" width="15.00390625" style="1142" customWidth="1"/>
    <col min="5129" max="5129" width="16.50390625" style="1142" customWidth="1"/>
    <col min="5130" max="5376" width="11.50390625" style="1142" customWidth="1"/>
    <col min="5377" max="5377" width="20.375" style="1142" customWidth="1"/>
    <col min="5378" max="5378" width="80.625" style="1142" customWidth="1"/>
    <col min="5379" max="5379" width="10.00390625" style="1142" customWidth="1"/>
    <col min="5380" max="5380" width="6.625" style="1142" customWidth="1"/>
    <col min="5381" max="5381" width="16.50390625" style="1142" customWidth="1"/>
    <col min="5382" max="5382" width="20.50390625" style="1142" customWidth="1"/>
    <col min="5383" max="5383" width="16.50390625" style="1142" customWidth="1"/>
    <col min="5384" max="5384" width="15.00390625" style="1142" customWidth="1"/>
    <col min="5385" max="5385" width="16.50390625" style="1142" customWidth="1"/>
    <col min="5386" max="5632" width="11.50390625" style="1142" customWidth="1"/>
    <col min="5633" max="5633" width="20.375" style="1142" customWidth="1"/>
    <col min="5634" max="5634" width="80.625" style="1142" customWidth="1"/>
    <col min="5635" max="5635" width="10.00390625" style="1142" customWidth="1"/>
    <col min="5636" max="5636" width="6.625" style="1142" customWidth="1"/>
    <col min="5637" max="5637" width="16.50390625" style="1142" customWidth="1"/>
    <col min="5638" max="5638" width="20.50390625" style="1142" customWidth="1"/>
    <col min="5639" max="5639" width="16.50390625" style="1142" customWidth="1"/>
    <col min="5640" max="5640" width="15.00390625" style="1142" customWidth="1"/>
    <col min="5641" max="5641" width="16.50390625" style="1142" customWidth="1"/>
    <col min="5642" max="5888" width="11.50390625" style="1142" customWidth="1"/>
    <col min="5889" max="5889" width="20.375" style="1142" customWidth="1"/>
    <col min="5890" max="5890" width="80.625" style="1142" customWidth="1"/>
    <col min="5891" max="5891" width="10.00390625" style="1142" customWidth="1"/>
    <col min="5892" max="5892" width="6.625" style="1142" customWidth="1"/>
    <col min="5893" max="5893" width="16.50390625" style="1142" customWidth="1"/>
    <col min="5894" max="5894" width="20.50390625" style="1142" customWidth="1"/>
    <col min="5895" max="5895" width="16.50390625" style="1142" customWidth="1"/>
    <col min="5896" max="5896" width="15.00390625" style="1142" customWidth="1"/>
    <col min="5897" max="5897" width="16.50390625" style="1142" customWidth="1"/>
    <col min="5898" max="6144" width="11.50390625" style="1142" customWidth="1"/>
    <col min="6145" max="6145" width="20.375" style="1142" customWidth="1"/>
    <col min="6146" max="6146" width="80.625" style="1142" customWidth="1"/>
    <col min="6147" max="6147" width="10.00390625" style="1142" customWidth="1"/>
    <col min="6148" max="6148" width="6.625" style="1142" customWidth="1"/>
    <col min="6149" max="6149" width="16.50390625" style="1142" customWidth="1"/>
    <col min="6150" max="6150" width="20.50390625" style="1142" customWidth="1"/>
    <col min="6151" max="6151" width="16.50390625" style="1142" customWidth="1"/>
    <col min="6152" max="6152" width="15.00390625" style="1142" customWidth="1"/>
    <col min="6153" max="6153" width="16.50390625" style="1142" customWidth="1"/>
    <col min="6154" max="6400" width="11.50390625" style="1142" customWidth="1"/>
    <col min="6401" max="6401" width="20.375" style="1142" customWidth="1"/>
    <col min="6402" max="6402" width="80.625" style="1142" customWidth="1"/>
    <col min="6403" max="6403" width="10.00390625" style="1142" customWidth="1"/>
    <col min="6404" max="6404" width="6.625" style="1142" customWidth="1"/>
    <col min="6405" max="6405" width="16.50390625" style="1142" customWidth="1"/>
    <col min="6406" max="6406" width="20.50390625" style="1142" customWidth="1"/>
    <col min="6407" max="6407" width="16.50390625" style="1142" customWidth="1"/>
    <col min="6408" max="6408" width="15.00390625" style="1142" customWidth="1"/>
    <col min="6409" max="6409" width="16.50390625" style="1142" customWidth="1"/>
    <col min="6410" max="6656" width="11.50390625" style="1142" customWidth="1"/>
    <col min="6657" max="6657" width="20.375" style="1142" customWidth="1"/>
    <col min="6658" max="6658" width="80.625" style="1142" customWidth="1"/>
    <col min="6659" max="6659" width="10.00390625" style="1142" customWidth="1"/>
    <col min="6660" max="6660" width="6.625" style="1142" customWidth="1"/>
    <col min="6661" max="6661" width="16.50390625" style="1142" customWidth="1"/>
    <col min="6662" max="6662" width="20.50390625" style="1142" customWidth="1"/>
    <col min="6663" max="6663" width="16.50390625" style="1142" customWidth="1"/>
    <col min="6664" max="6664" width="15.00390625" style="1142" customWidth="1"/>
    <col min="6665" max="6665" width="16.50390625" style="1142" customWidth="1"/>
    <col min="6666" max="6912" width="11.50390625" style="1142" customWidth="1"/>
    <col min="6913" max="6913" width="20.375" style="1142" customWidth="1"/>
    <col min="6914" max="6914" width="80.625" style="1142" customWidth="1"/>
    <col min="6915" max="6915" width="10.00390625" style="1142" customWidth="1"/>
    <col min="6916" max="6916" width="6.625" style="1142" customWidth="1"/>
    <col min="6917" max="6917" width="16.50390625" style="1142" customWidth="1"/>
    <col min="6918" max="6918" width="20.50390625" style="1142" customWidth="1"/>
    <col min="6919" max="6919" width="16.50390625" style="1142" customWidth="1"/>
    <col min="6920" max="6920" width="15.00390625" style="1142" customWidth="1"/>
    <col min="6921" max="6921" width="16.50390625" style="1142" customWidth="1"/>
    <col min="6922" max="7168" width="11.50390625" style="1142" customWidth="1"/>
    <col min="7169" max="7169" width="20.375" style="1142" customWidth="1"/>
    <col min="7170" max="7170" width="80.625" style="1142" customWidth="1"/>
    <col min="7171" max="7171" width="10.00390625" style="1142" customWidth="1"/>
    <col min="7172" max="7172" width="6.625" style="1142" customWidth="1"/>
    <col min="7173" max="7173" width="16.50390625" style="1142" customWidth="1"/>
    <col min="7174" max="7174" width="20.50390625" style="1142" customWidth="1"/>
    <col min="7175" max="7175" width="16.50390625" style="1142" customWidth="1"/>
    <col min="7176" max="7176" width="15.00390625" style="1142" customWidth="1"/>
    <col min="7177" max="7177" width="16.50390625" style="1142" customWidth="1"/>
    <col min="7178" max="7424" width="11.50390625" style="1142" customWidth="1"/>
    <col min="7425" max="7425" width="20.375" style="1142" customWidth="1"/>
    <col min="7426" max="7426" width="80.625" style="1142" customWidth="1"/>
    <col min="7427" max="7427" width="10.00390625" style="1142" customWidth="1"/>
    <col min="7428" max="7428" width="6.625" style="1142" customWidth="1"/>
    <col min="7429" max="7429" width="16.50390625" style="1142" customWidth="1"/>
    <col min="7430" max="7430" width="20.50390625" style="1142" customWidth="1"/>
    <col min="7431" max="7431" width="16.50390625" style="1142" customWidth="1"/>
    <col min="7432" max="7432" width="15.00390625" style="1142" customWidth="1"/>
    <col min="7433" max="7433" width="16.50390625" style="1142" customWidth="1"/>
    <col min="7434" max="7680" width="11.50390625" style="1142" customWidth="1"/>
    <col min="7681" max="7681" width="20.375" style="1142" customWidth="1"/>
    <col min="7682" max="7682" width="80.625" style="1142" customWidth="1"/>
    <col min="7683" max="7683" width="10.00390625" style="1142" customWidth="1"/>
    <col min="7684" max="7684" width="6.625" style="1142" customWidth="1"/>
    <col min="7685" max="7685" width="16.50390625" style="1142" customWidth="1"/>
    <col min="7686" max="7686" width="20.50390625" style="1142" customWidth="1"/>
    <col min="7687" max="7687" width="16.50390625" style="1142" customWidth="1"/>
    <col min="7688" max="7688" width="15.00390625" style="1142" customWidth="1"/>
    <col min="7689" max="7689" width="16.50390625" style="1142" customWidth="1"/>
    <col min="7690" max="7936" width="11.50390625" style="1142" customWidth="1"/>
    <col min="7937" max="7937" width="20.375" style="1142" customWidth="1"/>
    <col min="7938" max="7938" width="80.625" style="1142" customWidth="1"/>
    <col min="7939" max="7939" width="10.00390625" style="1142" customWidth="1"/>
    <col min="7940" max="7940" width="6.625" style="1142" customWidth="1"/>
    <col min="7941" max="7941" width="16.50390625" style="1142" customWidth="1"/>
    <col min="7942" max="7942" width="20.50390625" style="1142" customWidth="1"/>
    <col min="7943" max="7943" width="16.50390625" style="1142" customWidth="1"/>
    <col min="7944" max="7944" width="15.00390625" style="1142" customWidth="1"/>
    <col min="7945" max="7945" width="16.50390625" style="1142" customWidth="1"/>
    <col min="7946" max="8192" width="11.50390625" style="1142" customWidth="1"/>
    <col min="8193" max="8193" width="20.375" style="1142" customWidth="1"/>
    <col min="8194" max="8194" width="80.625" style="1142" customWidth="1"/>
    <col min="8195" max="8195" width="10.00390625" style="1142" customWidth="1"/>
    <col min="8196" max="8196" width="6.625" style="1142" customWidth="1"/>
    <col min="8197" max="8197" width="16.50390625" style="1142" customWidth="1"/>
    <col min="8198" max="8198" width="20.50390625" style="1142" customWidth="1"/>
    <col min="8199" max="8199" width="16.50390625" style="1142" customWidth="1"/>
    <col min="8200" max="8200" width="15.00390625" style="1142" customWidth="1"/>
    <col min="8201" max="8201" width="16.50390625" style="1142" customWidth="1"/>
    <col min="8202" max="8448" width="11.50390625" style="1142" customWidth="1"/>
    <col min="8449" max="8449" width="20.375" style="1142" customWidth="1"/>
    <col min="8450" max="8450" width="80.625" style="1142" customWidth="1"/>
    <col min="8451" max="8451" width="10.00390625" style="1142" customWidth="1"/>
    <col min="8452" max="8452" width="6.625" style="1142" customWidth="1"/>
    <col min="8453" max="8453" width="16.50390625" style="1142" customWidth="1"/>
    <col min="8454" max="8454" width="20.50390625" style="1142" customWidth="1"/>
    <col min="8455" max="8455" width="16.50390625" style="1142" customWidth="1"/>
    <col min="8456" max="8456" width="15.00390625" style="1142" customWidth="1"/>
    <col min="8457" max="8457" width="16.50390625" style="1142" customWidth="1"/>
    <col min="8458" max="8704" width="11.50390625" style="1142" customWidth="1"/>
    <col min="8705" max="8705" width="20.375" style="1142" customWidth="1"/>
    <col min="8706" max="8706" width="80.625" style="1142" customWidth="1"/>
    <col min="8707" max="8707" width="10.00390625" style="1142" customWidth="1"/>
    <col min="8708" max="8708" width="6.625" style="1142" customWidth="1"/>
    <col min="8709" max="8709" width="16.50390625" style="1142" customWidth="1"/>
    <col min="8710" max="8710" width="20.50390625" style="1142" customWidth="1"/>
    <col min="8711" max="8711" width="16.50390625" style="1142" customWidth="1"/>
    <col min="8712" max="8712" width="15.00390625" style="1142" customWidth="1"/>
    <col min="8713" max="8713" width="16.50390625" style="1142" customWidth="1"/>
    <col min="8714" max="8960" width="11.50390625" style="1142" customWidth="1"/>
    <col min="8961" max="8961" width="20.375" style="1142" customWidth="1"/>
    <col min="8962" max="8962" width="80.625" style="1142" customWidth="1"/>
    <col min="8963" max="8963" width="10.00390625" style="1142" customWidth="1"/>
    <col min="8964" max="8964" width="6.625" style="1142" customWidth="1"/>
    <col min="8965" max="8965" width="16.50390625" style="1142" customWidth="1"/>
    <col min="8966" max="8966" width="20.50390625" style="1142" customWidth="1"/>
    <col min="8967" max="8967" width="16.50390625" style="1142" customWidth="1"/>
    <col min="8968" max="8968" width="15.00390625" style="1142" customWidth="1"/>
    <col min="8969" max="8969" width="16.50390625" style="1142" customWidth="1"/>
    <col min="8970" max="9216" width="11.50390625" style="1142" customWidth="1"/>
    <col min="9217" max="9217" width="20.375" style="1142" customWidth="1"/>
    <col min="9218" max="9218" width="80.625" style="1142" customWidth="1"/>
    <col min="9219" max="9219" width="10.00390625" style="1142" customWidth="1"/>
    <col min="9220" max="9220" width="6.625" style="1142" customWidth="1"/>
    <col min="9221" max="9221" width="16.50390625" style="1142" customWidth="1"/>
    <col min="9222" max="9222" width="20.50390625" style="1142" customWidth="1"/>
    <col min="9223" max="9223" width="16.50390625" style="1142" customWidth="1"/>
    <col min="9224" max="9224" width="15.00390625" style="1142" customWidth="1"/>
    <col min="9225" max="9225" width="16.50390625" style="1142" customWidth="1"/>
    <col min="9226" max="9472" width="11.50390625" style="1142" customWidth="1"/>
    <col min="9473" max="9473" width="20.375" style="1142" customWidth="1"/>
    <col min="9474" max="9474" width="80.625" style="1142" customWidth="1"/>
    <col min="9475" max="9475" width="10.00390625" style="1142" customWidth="1"/>
    <col min="9476" max="9476" width="6.625" style="1142" customWidth="1"/>
    <col min="9477" max="9477" width="16.50390625" style="1142" customWidth="1"/>
    <col min="9478" max="9478" width="20.50390625" style="1142" customWidth="1"/>
    <col min="9479" max="9479" width="16.50390625" style="1142" customWidth="1"/>
    <col min="9480" max="9480" width="15.00390625" style="1142" customWidth="1"/>
    <col min="9481" max="9481" width="16.50390625" style="1142" customWidth="1"/>
    <col min="9482" max="9728" width="11.50390625" style="1142" customWidth="1"/>
    <col min="9729" max="9729" width="20.375" style="1142" customWidth="1"/>
    <col min="9730" max="9730" width="80.625" style="1142" customWidth="1"/>
    <col min="9731" max="9731" width="10.00390625" style="1142" customWidth="1"/>
    <col min="9732" max="9732" width="6.625" style="1142" customWidth="1"/>
    <col min="9733" max="9733" width="16.50390625" style="1142" customWidth="1"/>
    <col min="9734" max="9734" width="20.50390625" style="1142" customWidth="1"/>
    <col min="9735" max="9735" width="16.50390625" style="1142" customWidth="1"/>
    <col min="9736" max="9736" width="15.00390625" style="1142" customWidth="1"/>
    <col min="9737" max="9737" width="16.50390625" style="1142" customWidth="1"/>
    <col min="9738" max="9984" width="11.50390625" style="1142" customWidth="1"/>
    <col min="9985" max="9985" width="20.375" style="1142" customWidth="1"/>
    <col min="9986" max="9986" width="80.625" style="1142" customWidth="1"/>
    <col min="9987" max="9987" width="10.00390625" style="1142" customWidth="1"/>
    <col min="9988" max="9988" width="6.625" style="1142" customWidth="1"/>
    <col min="9989" max="9989" width="16.50390625" style="1142" customWidth="1"/>
    <col min="9990" max="9990" width="20.50390625" style="1142" customWidth="1"/>
    <col min="9991" max="9991" width="16.50390625" style="1142" customWidth="1"/>
    <col min="9992" max="9992" width="15.00390625" style="1142" customWidth="1"/>
    <col min="9993" max="9993" width="16.50390625" style="1142" customWidth="1"/>
    <col min="9994" max="10240" width="11.50390625" style="1142" customWidth="1"/>
    <col min="10241" max="10241" width="20.375" style="1142" customWidth="1"/>
    <col min="10242" max="10242" width="80.625" style="1142" customWidth="1"/>
    <col min="10243" max="10243" width="10.00390625" style="1142" customWidth="1"/>
    <col min="10244" max="10244" width="6.625" style="1142" customWidth="1"/>
    <col min="10245" max="10245" width="16.50390625" style="1142" customWidth="1"/>
    <col min="10246" max="10246" width="20.50390625" style="1142" customWidth="1"/>
    <col min="10247" max="10247" width="16.50390625" style="1142" customWidth="1"/>
    <col min="10248" max="10248" width="15.00390625" style="1142" customWidth="1"/>
    <col min="10249" max="10249" width="16.50390625" style="1142" customWidth="1"/>
    <col min="10250" max="10496" width="11.50390625" style="1142" customWidth="1"/>
    <col min="10497" max="10497" width="20.375" style="1142" customWidth="1"/>
    <col min="10498" max="10498" width="80.625" style="1142" customWidth="1"/>
    <col min="10499" max="10499" width="10.00390625" style="1142" customWidth="1"/>
    <col min="10500" max="10500" width="6.625" style="1142" customWidth="1"/>
    <col min="10501" max="10501" width="16.50390625" style="1142" customWidth="1"/>
    <col min="10502" max="10502" width="20.50390625" style="1142" customWidth="1"/>
    <col min="10503" max="10503" width="16.50390625" style="1142" customWidth="1"/>
    <col min="10504" max="10504" width="15.00390625" style="1142" customWidth="1"/>
    <col min="10505" max="10505" width="16.50390625" style="1142" customWidth="1"/>
    <col min="10506" max="10752" width="11.50390625" style="1142" customWidth="1"/>
    <col min="10753" max="10753" width="20.375" style="1142" customWidth="1"/>
    <col min="10754" max="10754" width="80.625" style="1142" customWidth="1"/>
    <col min="10755" max="10755" width="10.00390625" style="1142" customWidth="1"/>
    <col min="10756" max="10756" width="6.625" style="1142" customWidth="1"/>
    <col min="10757" max="10757" width="16.50390625" style="1142" customWidth="1"/>
    <col min="10758" max="10758" width="20.50390625" style="1142" customWidth="1"/>
    <col min="10759" max="10759" width="16.50390625" style="1142" customWidth="1"/>
    <col min="10760" max="10760" width="15.00390625" style="1142" customWidth="1"/>
    <col min="10761" max="10761" width="16.50390625" style="1142" customWidth="1"/>
    <col min="10762" max="11008" width="11.50390625" style="1142" customWidth="1"/>
    <col min="11009" max="11009" width="20.375" style="1142" customWidth="1"/>
    <col min="11010" max="11010" width="80.625" style="1142" customWidth="1"/>
    <col min="11011" max="11011" width="10.00390625" style="1142" customWidth="1"/>
    <col min="11012" max="11012" width="6.625" style="1142" customWidth="1"/>
    <col min="11013" max="11013" width="16.50390625" style="1142" customWidth="1"/>
    <col min="11014" max="11014" width="20.50390625" style="1142" customWidth="1"/>
    <col min="11015" max="11015" width="16.50390625" style="1142" customWidth="1"/>
    <col min="11016" max="11016" width="15.00390625" style="1142" customWidth="1"/>
    <col min="11017" max="11017" width="16.50390625" style="1142" customWidth="1"/>
    <col min="11018" max="11264" width="11.50390625" style="1142" customWidth="1"/>
    <col min="11265" max="11265" width="20.375" style="1142" customWidth="1"/>
    <col min="11266" max="11266" width="80.625" style="1142" customWidth="1"/>
    <col min="11267" max="11267" width="10.00390625" style="1142" customWidth="1"/>
    <col min="11268" max="11268" width="6.625" style="1142" customWidth="1"/>
    <col min="11269" max="11269" width="16.50390625" style="1142" customWidth="1"/>
    <col min="11270" max="11270" width="20.50390625" style="1142" customWidth="1"/>
    <col min="11271" max="11271" width="16.50390625" style="1142" customWidth="1"/>
    <col min="11272" max="11272" width="15.00390625" style="1142" customWidth="1"/>
    <col min="11273" max="11273" width="16.50390625" style="1142" customWidth="1"/>
    <col min="11274" max="11520" width="11.50390625" style="1142" customWidth="1"/>
    <col min="11521" max="11521" width="20.375" style="1142" customWidth="1"/>
    <col min="11522" max="11522" width="80.625" style="1142" customWidth="1"/>
    <col min="11523" max="11523" width="10.00390625" style="1142" customWidth="1"/>
    <col min="11524" max="11524" width="6.625" style="1142" customWidth="1"/>
    <col min="11525" max="11525" width="16.50390625" style="1142" customWidth="1"/>
    <col min="11526" max="11526" width="20.50390625" style="1142" customWidth="1"/>
    <col min="11527" max="11527" width="16.50390625" style="1142" customWidth="1"/>
    <col min="11528" max="11528" width="15.00390625" style="1142" customWidth="1"/>
    <col min="11529" max="11529" width="16.50390625" style="1142" customWidth="1"/>
    <col min="11530" max="11776" width="11.50390625" style="1142" customWidth="1"/>
    <col min="11777" max="11777" width="20.375" style="1142" customWidth="1"/>
    <col min="11778" max="11778" width="80.625" style="1142" customWidth="1"/>
    <col min="11779" max="11779" width="10.00390625" style="1142" customWidth="1"/>
    <col min="11780" max="11780" width="6.625" style="1142" customWidth="1"/>
    <col min="11781" max="11781" width="16.50390625" style="1142" customWidth="1"/>
    <col min="11782" max="11782" width="20.50390625" style="1142" customWidth="1"/>
    <col min="11783" max="11783" width="16.50390625" style="1142" customWidth="1"/>
    <col min="11784" max="11784" width="15.00390625" style="1142" customWidth="1"/>
    <col min="11785" max="11785" width="16.50390625" style="1142" customWidth="1"/>
    <col min="11786" max="12032" width="11.50390625" style="1142" customWidth="1"/>
    <col min="12033" max="12033" width="20.375" style="1142" customWidth="1"/>
    <col min="12034" max="12034" width="80.625" style="1142" customWidth="1"/>
    <col min="12035" max="12035" width="10.00390625" style="1142" customWidth="1"/>
    <col min="12036" max="12036" width="6.625" style="1142" customWidth="1"/>
    <col min="12037" max="12037" width="16.50390625" style="1142" customWidth="1"/>
    <col min="12038" max="12038" width="20.50390625" style="1142" customWidth="1"/>
    <col min="12039" max="12039" width="16.50390625" style="1142" customWidth="1"/>
    <col min="12040" max="12040" width="15.00390625" style="1142" customWidth="1"/>
    <col min="12041" max="12041" width="16.50390625" style="1142" customWidth="1"/>
    <col min="12042" max="12288" width="11.50390625" style="1142" customWidth="1"/>
    <col min="12289" max="12289" width="20.375" style="1142" customWidth="1"/>
    <col min="12290" max="12290" width="80.625" style="1142" customWidth="1"/>
    <col min="12291" max="12291" width="10.00390625" style="1142" customWidth="1"/>
    <col min="12292" max="12292" width="6.625" style="1142" customWidth="1"/>
    <col min="12293" max="12293" width="16.50390625" style="1142" customWidth="1"/>
    <col min="12294" max="12294" width="20.50390625" style="1142" customWidth="1"/>
    <col min="12295" max="12295" width="16.50390625" style="1142" customWidth="1"/>
    <col min="12296" max="12296" width="15.00390625" style="1142" customWidth="1"/>
    <col min="12297" max="12297" width="16.50390625" style="1142" customWidth="1"/>
    <col min="12298" max="12544" width="11.50390625" style="1142" customWidth="1"/>
    <col min="12545" max="12545" width="20.375" style="1142" customWidth="1"/>
    <col min="12546" max="12546" width="80.625" style="1142" customWidth="1"/>
    <col min="12547" max="12547" width="10.00390625" style="1142" customWidth="1"/>
    <col min="12548" max="12548" width="6.625" style="1142" customWidth="1"/>
    <col min="12549" max="12549" width="16.50390625" style="1142" customWidth="1"/>
    <col min="12550" max="12550" width="20.50390625" style="1142" customWidth="1"/>
    <col min="12551" max="12551" width="16.50390625" style="1142" customWidth="1"/>
    <col min="12552" max="12552" width="15.00390625" style="1142" customWidth="1"/>
    <col min="12553" max="12553" width="16.50390625" style="1142" customWidth="1"/>
    <col min="12554" max="12800" width="11.50390625" style="1142" customWidth="1"/>
    <col min="12801" max="12801" width="20.375" style="1142" customWidth="1"/>
    <col min="12802" max="12802" width="80.625" style="1142" customWidth="1"/>
    <col min="12803" max="12803" width="10.00390625" style="1142" customWidth="1"/>
    <col min="12804" max="12804" width="6.625" style="1142" customWidth="1"/>
    <col min="12805" max="12805" width="16.50390625" style="1142" customWidth="1"/>
    <col min="12806" max="12806" width="20.50390625" style="1142" customWidth="1"/>
    <col min="12807" max="12807" width="16.50390625" style="1142" customWidth="1"/>
    <col min="12808" max="12808" width="15.00390625" style="1142" customWidth="1"/>
    <col min="12809" max="12809" width="16.50390625" style="1142" customWidth="1"/>
    <col min="12810" max="13056" width="11.50390625" style="1142" customWidth="1"/>
    <col min="13057" max="13057" width="20.375" style="1142" customWidth="1"/>
    <col min="13058" max="13058" width="80.625" style="1142" customWidth="1"/>
    <col min="13059" max="13059" width="10.00390625" style="1142" customWidth="1"/>
    <col min="13060" max="13060" width="6.625" style="1142" customWidth="1"/>
    <col min="13061" max="13061" width="16.50390625" style="1142" customWidth="1"/>
    <col min="13062" max="13062" width="20.50390625" style="1142" customWidth="1"/>
    <col min="13063" max="13063" width="16.50390625" style="1142" customWidth="1"/>
    <col min="13064" max="13064" width="15.00390625" style="1142" customWidth="1"/>
    <col min="13065" max="13065" width="16.50390625" style="1142" customWidth="1"/>
    <col min="13066" max="13312" width="11.50390625" style="1142" customWidth="1"/>
    <col min="13313" max="13313" width="20.375" style="1142" customWidth="1"/>
    <col min="13314" max="13314" width="80.625" style="1142" customWidth="1"/>
    <col min="13315" max="13315" width="10.00390625" style="1142" customWidth="1"/>
    <col min="13316" max="13316" width="6.625" style="1142" customWidth="1"/>
    <col min="13317" max="13317" width="16.50390625" style="1142" customWidth="1"/>
    <col min="13318" max="13318" width="20.50390625" style="1142" customWidth="1"/>
    <col min="13319" max="13319" width="16.50390625" style="1142" customWidth="1"/>
    <col min="13320" max="13320" width="15.00390625" style="1142" customWidth="1"/>
    <col min="13321" max="13321" width="16.50390625" style="1142" customWidth="1"/>
    <col min="13322" max="13568" width="11.50390625" style="1142" customWidth="1"/>
    <col min="13569" max="13569" width="20.375" style="1142" customWidth="1"/>
    <col min="13570" max="13570" width="80.625" style="1142" customWidth="1"/>
    <col min="13571" max="13571" width="10.00390625" style="1142" customWidth="1"/>
    <col min="13572" max="13572" width="6.625" style="1142" customWidth="1"/>
    <col min="13573" max="13573" width="16.50390625" style="1142" customWidth="1"/>
    <col min="13574" max="13574" width="20.50390625" style="1142" customWidth="1"/>
    <col min="13575" max="13575" width="16.50390625" style="1142" customWidth="1"/>
    <col min="13576" max="13576" width="15.00390625" style="1142" customWidth="1"/>
    <col min="13577" max="13577" width="16.50390625" style="1142" customWidth="1"/>
    <col min="13578" max="13824" width="11.50390625" style="1142" customWidth="1"/>
    <col min="13825" max="13825" width="20.375" style="1142" customWidth="1"/>
    <col min="13826" max="13826" width="80.625" style="1142" customWidth="1"/>
    <col min="13827" max="13827" width="10.00390625" style="1142" customWidth="1"/>
    <col min="13828" max="13828" width="6.625" style="1142" customWidth="1"/>
    <col min="13829" max="13829" width="16.50390625" style="1142" customWidth="1"/>
    <col min="13830" max="13830" width="20.50390625" style="1142" customWidth="1"/>
    <col min="13831" max="13831" width="16.50390625" style="1142" customWidth="1"/>
    <col min="13832" max="13832" width="15.00390625" style="1142" customWidth="1"/>
    <col min="13833" max="13833" width="16.50390625" style="1142" customWidth="1"/>
    <col min="13834" max="14080" width="11.50390625" style="1142" customWidth="1"/>
    <col min="14081" max="14081" width="20.375" style="1142" customWidth="1"/>
    <col min="14082" max="14082" width="80.625" style="1142" customWidth="1"/>
    <col min="14083" max="14083" width="10.00390625" style="1142" customWidth="1"/>
    <col min="14084" max="14084" width="6.625" style="1142" customWidth="1"/>
    <col min="14085" max="14085" width="16.50390625" style="1142" customWidth="1"/>
    <col min="14086" max="14086" width="20.50390625" style="1142" customWidth="1"/>
    <col min="14087" max="14087" width="16.50390625" style="1142" customWidth="1"/>
    <col min="14088" max="14088" width="15.00390625" style="1142" customWidth="1"/>
    <col min="14089" max="14089" width="16.50390625" style="1142" customWidth="1"/>
    <col min="14090" max="14336" width="11.50390625" style="1142" customWidth="1"/>
    <col min="14337" max="14337" width="20.375" style="1142" customWidth="1"/>
    <col min="14338" max="14338" width="80.625" style="1142" customWidth="1"/>
    <col min="14339" max="14339" width="10.00390625" style="1142" customWidth="1"/>
    <col min="14340" max="14340" width="6.625" style="1142" customWidth="1"/>
    <col min="14341" max="14341" width="16.50390625" style="1142" customWidth="1"/>
    <col min="14342" max="14342" width="20.50390625" style="1142" customWidth="1"/>
    <col min="14343" max="14343" width="16.50390625" style="1142" customWidth="1"/>
    <col min="14344" max="14344" width="15.00390625" style="1142" customWidth="1"/>
    <col min="14345" max="14345" width="16.50390625" style="1142" customWidth="1"/>
    <col min="14346" max="14592" width="11.50390625" style="1142" customWidth="1"/>
    <col min="14593" max="14593" width="20.375" style="1142" customWidth="1"/>
    <col min="14594" max="14594" width="80.625" style="1142" customWidth="1"/>
    <col min="14595" max="14595" width="10.00390625" style="1142" customWidth="1"/>
    <col min="14596" max="14596" width="6.625" style="1142" customWidth="1"/>
    <col min="14597" max="14597" width="16.50390625" style="1142" customWidth="1"/>
    <col min="14598" max="14598" width="20.50390625" style="1142" customWidth="1"/>
    <col min="14599" max="14599" width="16.50390625" style="1142" customWidth="1"/>
    <col min="14600" max="14600" width="15.00390625" style="1142" customWidth="1"/>
    <col min="14601" max="14601" width="16.50390625" style="1142" customWidth="1"/>
    <col min="14602" max="14848" width="11.50390625" style="1142" customWidth="1"/>
    <col min="14849" max="14849" width="20.375" style="1142" customWidth="1"/>
    <col min="14850" max="14850" width="80.625" style="1142" customWidth="1"/>
    <col min="14851" max="14851" width="10.00390625" style="1142" customWidth="1"/>
    <col min="14852" max="14852" width="6.625" style="1142" customWidth="1"/>
    <col min="14853" max="14853" width="16.50390625" style="1142" customWidth="1"/>
    <col min="14854" max="14854" width="20.50390625" style="1142" customWidth="1"/>
    <col min="14855" max="14855" width="16.50390625" style="1142" customWidth="1"/>
    <col min="14856" max="14856" width="15.00390625" style="1142" customWidth="1"/>
    <col min="14857" max="14857" width="16.50390625" style="1142" customWidth="1"/>
    <col min="14858" max="15104" width="11.50390625" style="1142" customWidth="1"/>
    <col min="15105" max="15105" width="20.375" style="1142" customWidth="1"/>
    <col min="15106" max="15106" width="80.625" style="1142" customWidth="1"/>
    <col min="15107" max="15107" width="10.00390625" style="1142" customWidth="1"/>
    <col min="15108" max="15108" width="6.625" style="1142" customWidth="1"/>
    <col min="15109" max="15109" width="16.50390625" style="1142" customWidth="1"/>
    <col min="15110" max="15110" width="20.50390625" style="1142" customWidth="1"/>
    <col min="15111" max="15111" width="16.50390625" style="1142" customWidth="1"/>
    <col min="15112" max="15112" width="15.00390625" style="1142" customWidth="1"/>
    <col min="15113" max="15113" width="16.50390625" style="1142" customWidth="1"/>
    <col min="15114" max="15360" width="11.50390625" style="1142" customWidth="1"/>
    <col min="15361" max="15361" width="20.375" style="1142" customWidth="1"/>
    <col min="15362" max="15362" width="80.625" style="1142" customWidth="1"/>
    <col min="15363" max="15363" width="10.00390625" style="1142" customWidth="1"/>
    <col min="15364" max="15364" width="6.625" style="1142" customWidth="1"/>
    <col min="15365" max="15365" width="16.50390625" style="1142" customWidth="1"/>
    <col min="15366" max="15366" width="20.50390625" style="1142" customWidth="1"/>
    <col min="15367" max="15367" width="16.50390625" style="1142" customWidth="1"/>
    <col min="15368" max="15368" width="15.00390625" style="1142" customWidth="1"/>
    <col min="15369" max="15369" width="16.50390625" style="1142" customWidth="1"/>
    <col min="15370" max="15616" width="11.50390625" style="1142" customWidth="1"/>
    <col min="15617" max="15617" width="20.375" style="1142" customWidth="1"/>
    <col min="15618" max="15618" width="80.625" style="1142" customWidth="1"/>
    <col min="15619" max="15619" width="10.00390625" style="1142" customWidth="1"/>
    <col min="15620" max="15620" width="6.625" style="1142" customWidth="1"/>
    <col min="15621" max="15621" width="16.50390625" style="1142" customWidth="1"/>
    <col min="15622" max="15622" width="20.50390625" style="1142" customWidth="1"/>
    <col min="15623" max="15623" width="16.50390625" style="1142" customWidth="1"/>
    <col min="15624" max="15624" width="15.00390625" style="1142" customWidth="1"/>
    <col min="15625" max="15625" width="16.50390625" style="1142" customWidth="1"/>
    <col min="15626" max="15872" width="11.50390625" style="1142" customWidth="1"/>
    <col min="15873" max="15873" width="20.375" style="1142" customWidth="1"/>
    <col min="15874" max="15874" width="80.625" style="1142" customWidth="1"/>
    <col min="15875" max="15875" width="10.00390625" style="1142" customWidth="1"/>
    <col min="15876" max="15876" width="6.625" style="1142" customWidth="1"/>
    <col min="15877" max="15877" width="16.50390625" style="1142" customWidth="1"/>
    <col min="15878" max="15878" width="20.50390625" style="1142" customWidth="1"/>
    <col min="15879" max="15879" width="16.50390625" style="1142" customWidth="1"/>
    <col min="15880" max="15880" width="15.00390625" style="1142" customWidth="1"/>
    <col min="15881" max="15881" width="16.50390625" style="1142" customWidth="1"/>
    <col min="15882" max="16128" width="11.50390625" style="1142" customWidth="1"/>
    <col min="16129" max="16129" width="20.375" style="1142" customWidth="1"/>
    <col min="16130" max="16130" width="80.625" style="1142" customWidth="1"/>
    <col min="16131" max="16131" width="10.00390625" style="1142" customWidth="1"/>
    <col min="16132" max="16132" width="6.625" style="1142" customWidth="1"/>
    <col min="16133" max="16133" width="16.50390625" style="1142" customWidth="1"/>
    <col min="16134" max="16134" width="20.50390625" style="1142" customWidth="1"/>
    <col min="16135" max="16135" width="16.50390625" style="1142" customWidth="1"/>
    <col min="16136" max="16136" width="15.00390625" style="1142" customWidth="1"/>
    <col min="16137" max="16137" width="16.50390625" style="1142" customWidth="1"/>
    <col min="16138" max="16384" width="11.50390625" style="1142" customWidth="1"/>
  </cols>
  <sheetData>
    <row r="1" ht="40.5" customHeight="1">
      <c r="B1" s="1141" t="s">
        <v>2373</v>
      </c>
    </row>
    <row r="2" spans="1:6" ht="12.75">
      <c r="A2" s="1719" t="s">
        <v>2374</v>
      </c>
      <c r="B2" s="1719"/>
      <c r="C2" s="1719"/>
      <c r="D2" s="1719"/>
      <c r="E2" s="1719"/>
      <c r="F2" s="1719"/>
    </row>
    <row r="3" spans="1:6" ht="12.75">
      <c r="A3" s="806" t="s">
        <v>2375</v>
      </c>
      <c r="B3" s="1143" t="s">
        <v>2376</v>
      </c>
      <c r="C3" s="1144" t="s">
        <v>757</v>
      </c>
      <c r="D3" s="1144">
        <v>1</v>
      </c>
      <c r="E3" s="1145">
        <v>0</v>
      </c>
      <c r="F3" s="1145">
        <f>D3*E3</f>
        <v>0</v>
      </c>
    </row>
    <row r="4" spans="1:6" ht="12.75">
      <c r="A4" s="806" t="s">
        <v>2377</v>
      </c>
      <c r="B4" s="1143" t="s">
        <v>2378</v>
      </c>
      <c r="C4" s="1144" t="s">
        <v>757</v>
      </c>
      <c r="D4" s="1144">
        <v>1</v>
      </c>
      <c r="E4" s="1145">
        <v>0</v>
      </c>
      <c r="F4" s="1145">
        <f>D4*E4</f>
        <v>0</v>
      </c>
    </row>
    <row r="5" spans="1:6" ht="12.75">
      <c r="A5" s="806" t="s">
        <v>2379</v>
      </c>
      <c r="B5" s="1143" t="s">
        <v>2380</v>
      </c>
      <c r="C5" s="1144" t="s">
        <v>757</v>
      </c>
      <c r="D5" s="1144">
        <v>1</v>
      </c>
      <c r="E5" s="1145">
        <v>0</v>
      </c>
      <c r="F5" s="1145">
        <f>D5*E5</f>
        <v>0</v>
      </c>
    </row>
    <row r="6" spans="1:6" ht="12.75">
      <c r="A6" s="806" t="s">
        <v>2381</v>
      </c>
      <c r="B6" s="1143" t="s">
        <v>2382</v>
      </c>
      <c r="C6" s="1144" t="s">
        <v>757</v>
      </c>
      <c r="D6" s="1144">
        <v>1</v>
      </c>
      <c r="E6" s="1145">
        <v>0</v>
      </c>
      <c r="F6" s="1145">
        <f>D6*E6</f>
        <v>0</v>
      </c>
    </row>
    <row r="7" spans="1:6" ht="12.75">
      <c r="A7" s="1719" t="s">
        <v>2383</v>
      </c>
      <c r="B7" s="1719"/>
      <c r="C7" s="1719"/>
      <c r="D7" s="1719"/>
      <c r="E7" s="1719"/>
      <c r="F7" s="1719"/>
    </row>
    <row r="8" spans="1:6" ht="12.75">
      <c r="A8" s="806" t="s">
        <v>2384</v>
      </c>
      <c r="B8" s="1146" t="s">
        <v>2385</v>
      </c>
      <c r="C8" s="1144" t="s">
        <v>757</v>
      </c>
      <c r="D8" s="1144">
        <v>1</v>
      </c>
      <c r="E8" s="1145">
        <v>0</v>
      </c>
      <c r="F8" s="1145">
        <f aca="true" t="shared" si="0" ref="F8:F18">D8*E8</f>
        <v>0</v>
      </c>
    </row>
    <row r="9" spans="1:6" ht="12.75">
      <c r="A9" s="806" t="s">
        <v>2386</v>
      </c>
      <c r="B9" s="1146" t="s">
        <v>2387</v>
      </c>
      <c r="C9" s="1144" t="s">
        <v>757</v>
      </c>
      <c r="D9" s="1144">
        <v>1</v>
      </c>
      <c r="E9" s="1145">
        <v>0</v>
      </c>
      <c r="F9" s="1145">
        <f t="shared" si="0"/>
        <v>0</v>
      </c>
    </row>
    <row r="10" spans="1:6" ht="12.75">
      <c r="A10" s="806" t="s">
        <v>2388</v>
      </c>
      <c r="B10" s="1146" t="s">
        <v>2389</v>
      </c>
      <c r="C10" s="1144" t="s">
        <v>757</v>
      </c>
      <c r="D10" s="1144">
        <v>1</v>
      </c>
      <c r="E10" s="1145">
        <v>0</v>
      </c>
      <c r="F10" s="1145">
        <f t="shared" si="0"/>
        <v>0</v>
      </c>
    </row>
    <row r="11" spans="1:6" ht="12.75">
      <c r="A11" s="806" t="s">
        <v>2390</v>
      </c>
      <c r="B11" s="1146" t="s">
        <v>2391</v>
      </c>
      <c r="C11" s="1144" t="s">
        <v>757</v>
      </c>
      <c r="D11" s="1144">
        <v>1</v>
      </c>
      <c r="E11" s="1145">
        <v>0</v>
      </c>
      <c r="F11" s="1145">
        <f t="shared" si="0"/>
        <v>0</v>
      </c>
    </row>
    <row r="12" spans="1:8" ht="12.75">
      <c r="A12" s="806" t="s">
        <v>2392</v>
      </c>
      <c r="B12" s="1146" t="s">
        <v>2393</v>
      </c>
      <c r="C12" s="1144" t="s">
        <v>757</v>
      </c>
      <c r="D12" s="1144">
        <v>4</v>
      </c>
      <c r="E12" s="1145">
        <v>0</v>
      </c>
      <c r="F12" s="1145">
        <f t="shared" si="0"/>
        <v>0</v>
      </c>
      <c r="G12" s="1145"/>
      <c r="H12" s="1145"/>
    </row>
    <row r="13" spans="1:8" ht="12.75">
      <c r="A13" s="806" t="s">
        <v>2394</v>
      </c>
      <c r="B13" s="1146" t="s">
        <v>2395</v>
      </c>
      <c r="C13" s="1144" t="s">
        <v>757</v>
      </c>
      <c r="D13" s="1144">
        <v>4</v>
      </c>
      <c r="E13" s="1145">
        <v>0</v>
      </c>
      <c r="F13" s="1145">
        <f t="shared" si="0"/>
        <v>0</v>
      </c>
      <c r="G13" s="1145"/>
      <c r="H13" s="1145"/>
    </row>
    <row r="14" spans="1:8" ht="12.75">
      <c r="A14" s="806" t="s">
        <v>2396</v>
      </c>
      <c r="B14" s="1142" t="s">
        <v>2397</v>
      </c>
      <c r="C14" s="1144" t="s">
        <v>757</v>
      </c>
      <c r="D14" s="1144">
        <v>1</v>
      </c>
      <c r="E14" s="1145">
        <v>0</v>
      </c>
      <c r="F14" s="1145">
        <f t="shared" si="0"/>
        <v>0</v>
      </c>
      <c r="G14" s="1145"/>
      <c r="H14" s="1145"/>
    </row>
    <row r="15" spans="1:8" ht="12.75">
      <c r="A15" s="806" t="s">
        <v>2398</v>
      </c>
      <c r="B15" s="1142" t="s">
        <v>2399</v>
      </c>
      <c r="C15" s="1144" t="s">
        <v>181</v>
      </c>
      <c r="D15" s="1144">
        <v>1</v>
      </c>
      <c r="E15" s="1145">
        <v>0</v>
      </c>
      <c r="F15" s="1145">
        <f t="shared" si="0"/>
        <v>0</v>
      </c>
      <c r="G15" s="1145"/>
      <c r="H15" s="1145"/>
    </row>
    <row r="16" spans="1:8" ht="12.75">
      <c r="A16" s="806" t="s">
        <v>2400</v>
      </c>
      <c r="B16" s="1142" t="s">
        <v>2401</v>
      </c>
      <c r="C16" s="1144" t="s">
        <v>181</v>
      </c>
      <c r="D16" s="1144">
        <v>1</v>
      </c>
      <c r="E16" s="1145">
        <v>0</v>
      </c>
      <c r="F16" s="1145">
        <f t="shared" si="0"/>
        <v>0</v>
      </c>
      <c r="G16" s="1145"/>
      <c r="H16" s="1145"/>
    </row>
    <row r="17" spans="1:8" ht="12.75">
      <c r="A17" s="806" t="s">
        <v>2402</v>
      </c>
      <c r="B17" s="1143" t="s">
        <v>2403</v>
      </c>
      <c r="C17" s="1144" t="s">
        <v>2404</v>
      </c>
      <c r="D17" s="1144">
        <v>100</v>
      </c>
      <c r="E17" s="1145">
        <v>0</v>
      </c>
      <c r="F17" s="1145">
        <f t="shared" si="0"/>
        <v>0</v>
      </c>
      <c r="G17" s="1145"/>
      <c r="H17" s="1145"/>
    </row>
    <row r="18" spans="1:6" ht="12.75">
      <c r="A18" s="806" t="s">
        <v>2405</v>
      </c>
      <c r="B18" s="1143" t="s">
        <v>2406</v>
      </c>
      <c r="C18" s="1144" t="s">
        <v>181</v>
      </c>
      <c r="D18" s="1144">
        <v>1</v>
      </c>
      <c r="E18" s="1145">
        <v>0</v>
      </c>
      <c r="F18" s="1145">
        <f t="shared" si="0"/>
        <v>0</v>
      </c>
    </row>
    <row r="19" spans="1:6" ht="12.75">
      <c r="A19" s="1719" t="s">
        <v>2407</v>
      </c>
      <c r="B19" s="1719"/>
      <c r="C19" s="1719"/>
      <c r="D19" s="1719"/>
      <c r="E19" s="1719"/>
      <c r="F19" s="1719"/>
    </row>
    <row r="20" spans="1:8" ht="12.75">
      <c r="A20" s="806" t="s">
        <v>2408</v>
      </c>
      <c r="B20" s="1146" t="s">
        <v>2409</v>
      </c>
      <c r="C20" s="1144" t="s">
        <v>757</v>
      </c>
      <c r="D20" s="1144">
        <v>100</v>
      </c>
      <c r="E20" s="1145">
        <v>0</v>
      </c>
      <c r="F20" s="1145">
        <f aca="true" t="shared" si="1" ref="F20:F29">D20*E20</f>
        <v>0</v>
      </c>
      <c r="H20" s="1145"/>
    </row>
    <row r="21" spans="1:8" ht="12.75">
      <c r="A21" s="806" t="s">
        <v>2410</v>
      </c>
      <c r="B21" s="1146" t="s">
        <v>2411</v>
      </c>
      <c r="C21" s="1144" t="s">
        <v>757</v>
      </c>
      <c r="D21" s="1144">
        <v>100</v>
      </c>
      <c r="E21" s="1145">
        <v>0</v>
      </c>
      <c r="F21" s="1145">
        <f t="shared" si="1"/>
        <v>0</v>
      </c>
      <c r="H21" s="1145"/>
    </row>
    <row r="22" spans="1:8" ht="12.75">
      <c r="A22" s="806" t="s">
        <v>2412</v>
      </c>
      <c r="B22" s="1146" t="s">
        <v>2413</v>
      </c>
      <c r="C22" s="1144" t="s">
        <v>757</v>
      </c>
      <c r="D22" s="1144">
        <v>30</v>
      </c>
      <c r="E22" s="1145">
        <v>0</v>
      </c>
      <c r="F22" s="1145">
        <f t="shared" si="1"/>
        <v>0</v>
      </c>
      <c r="H22" s="1145"/>
    </row>
    <row r="23" spans="1:8" ht="12.75">
      <c r="A23" s="806" t="s">
        <v>2414</v>
      </c>
      <c r="B23" s="1146" t="s">
        <v>2415</v>
      </c>
      <c r="C23" s="1144" t="s">
        <v>757</v>
      </c>
      <c r="D23" s="1144">
        <v>2</v>
      </c>
      <c r="E23" s="1145">
        <v>0</v>
      </c>
      <c r="F23" s="1145">
        <f t="shared" si="1"/>
        <v>0</v>
      </c>
      <c r="G23" s="1145"/>
      <c r="H23" s="1145"/>
    </row>
    <row r="24" spans="1:8" ht="12.75">
      <c r="A24" s="806" t="s">
        <v>2416</v>
      </c>
      <c r="B24" s="1146" t="s">
        <v>2417</v>
      </c>
      <c r="C24" s="1144" t="s">
        <v>757</v>
      </c>
      <c r="D24" s="1144">
        <v>24</v>
      </c>
      <c r="E24" s="1145">
        <v>0</v>
      </c>
      <c r="F24" s="1145">
        <f t="shared" si="1"/>
        <v>0</v>
      </c>
      <c r="H24" s="1145"/>
    </row>
    <row r="25" spans="1:8" ht="12.75">
      <c r="A25" s="806" t="s">
        <v>2418</v>
      </c>
      <c r="B25" s="1146" t="s">
        <v>2419</v>
      </c>
      <c r="C25" s="1144" t="s">
        <v>757</v>
      </c>
      <c r="D25" s="1144">
        <v>2</v>
      </c>
      <c r="E25" s="1145">
        <v>0</v>
      </c>
      <c r="F25" s="1145">
        <f t="shared" si="1"/>
        <v>0</v>
      </c>
      <c r="H25" s="1145"/>
    </row>
    <row r="26" spans="1:8" ht="12.75">
      <c r="A26" s="806" t="s">
        <v>2420</v>
      </c>
      <c r="B26" s="1146" t="s">
        <v>2421</v>
      </c>
      <c r="C26" s="1144" t="s">
        <v>757</v>
      </c>
      <c r="D26" s="1144">
        <v>2</v>
      </c>
      <c r="E26" s="1145">
        <v>0</v>
      </c>
      <c r="F26" s="1145">
        <f t="shared" si="1"/>
        <v>0</v>
      </c>
      <c r="H26" s="1145"/>
    </row>
    <row r="27" spans="1:8" ht="12.75">
      <c r="A27" s="806" t="s">
        <v>2422</v>
      </c>
      <c r="B27" s="1146" t="s">
        <v>2423</v>
      </c>
      <c r="C27" s="1144" t="s">
        <v>757</v>
      </c>
      <c r="D27" s="1144">
        <v>2</v>
      </c>
      <c r="E27" s="1145">
        <v>0</v>
      </c>
      <c r="F27" s="1145">
        <f t="shared" si="1"/>
        <v>0</v>
      </c>
      <c r="H27" s="1145"/>
    </row>
    <row r="28" spans="1:8" ht="12.75">
      <c r="A28" s="806" t="s">
        <v>2424</v>
      </c>
      <c r="B28" s="1146" t="s">
        <v>2411</v>
      </c>
      <c r="C28" s="1144" t="s">
        <v>757</v>
      </c>
      <c r="D28" s="1144">
        <v>100</v>
      </c>
      <c r="E28" s="1145">
        <v>0</v>
      </c>
      <c r="F28" s="1145">
        <f t="shared" si="1"/>
        <v>0</v>
      </c>
      <c r="H28" s="1145"/>
    </row>
    <row r="29" spans="1:8" ht="12.75">
      <c r="A29" s="806" t="s">
        <v>2425</v>
      </c>
      <c r="B29" s="1146" t="s">
        <v>2426</v>
      </c>
      <c r="C29" s="1144" t="s">
        <v>181</v>
      </c>
      <c r="D29" s="1144">
        <v>1</v>
      </c>
      <c r="E29" s="1145">
        <v>0</v>
      </c>
      <c r="F29" s="1145">
        <f t="shared" si="1"/>
        <v>0</v>
      </c>
      <c r="H29" s="1145"/>
    </row>
    <row r="30" spans="1:6" ht="12.75">
      <c r="A30" s="1719" t="s">
        <v>2427</v>
      </c>
      <c r="B30" s="1719"/>
      <c r="C30" s="1719"/>
      <c r="D30" s="1719"/>
      <c r="E30" s="1719"/>
      <c r="F30" s="1719"/>
    </row>
    <row r="31" spans="1:8" ht="12.75">
      <c r="A31" s="806" t="s">
        <v>2428</v>
      </c>
      <c r="B31" s="1143" t="s">
        <v>2429</v>
      </c>
      <c r="C31" s="1144" t="s">
        <v>2404</v>
      </c>
      <c r="D31" s="1144">
        <v>700</v>
      </c>
      <c r="E31" s="1145">
        <v>0</v>
      </c>
      <c r="F31" s="1145">
        <f>D31*E31</f>
        <v>0</v>
      </c>
      <c r="H31" s="1145"/>
    </row>
    <row r="32" spans="1:8" ht="12.75">
      <c r="A32" s="806" t="s">
        <v>2430</v>
      </c>
      <c r="B32" s="1143" t="s">
        <v>2431</v>
      </c>
      <c r="C32" s="1144" t="s">
        <v>2404</v>
      </c>
      <c r="D32" s="1144">
        <v>600</v>
      </c>
      <c r="E32" s="1145">
        <v>0</v>
      </c>
      <c r="F32" s="1145">
        <f>D32*E32</f>
        <v>0</v>
      </c>
      <c r="H32" s="1145"/>
    </row>
    <row r="33" spans="1:8" ht="12.75">
      <c r="A33" s="806" t="s">
        <v>2432</v>
      </c>
      <c r="B33" s="1143" t="s">
        <v>2433</v>
      </c>
      <c r="C33" s="1144" t="s">
        <v>2404</v>
      </c>
      <c r="D33" s="1144">
        <v>500</v>
      </c>
      <c r="E33" s="1145">
        <v>0</v>
      </c>
      <c r="F33" s="1145">
        <f>D33*E33</f>
        <v>0</v>
      </c>
      <c r="H33" s="1145"/>
    </row>
    <row r="34" spans="1:8" ht="12.75">
      <c r="A34" s="806" t="s">
        <v>2434</v>
      </c>
      <c r="B34" s="1143" t="s">
        <v>2435</v>
      </c>
      <c r="C34" s="1144" t="s">
        <v>181</v>
      </c>
      <c r="D34" s="1144">
        <v>1</v>
      </c>
      <c r="E34" s="1145">
        <v>0</v>
      </c>
      <c r="F34" s="1145">
        <f>D34*E34</f>
        <v>0</v>
      </c>
      <c r="H34" s="1145"/>
    </row>
    <row r="35" spans="1:8" ht="12.75">
      <c r="A35" s="1720" t="s">
        <v>2436</v>
      </c>
      <c r="B35" s="1720"/>
      <c r="C35" s="1720"/>
      <c r="D35" s="1720"/>
      <c r="E35" s="1720"/>
      <c r="F35" s="1720"/>
      <c r="H35" s="1145"/>
    </row>
    <row r="36" ht="12.75">
      <c r="H36" s="1145"/>
    </row>
    <row r="37" spans="1:8" ht="12.75">
      <c r="A37" s="1719" t="s">
        <v>2437</v>
      </c>
      <c r="B37" s="1719"/>
      <c r="C37" s="1719"/>
      <c r="D37" s="1719"/>
      <c r="E37" s="1719"/>
      <c r="F37" s="1719"/>
      <c r="H37" s="1145"/>
    </row>
    <row r="38" spans="1:9" ht="12.75">
      <c r="A38" s="806" t="s">
        <v>2438</v>
      </c>
      <c r="B38" s="1142" t="s">
        <v>2439</v>
      </c>
      <c r="C38" s="1144" t="s">
        <v>757</v>
      </c>
      <c r="D38" s="1144">
        <v>1</v>
      </c>
      <c r="E38" s="1145">
        <v>0</v>
      </c>
      <c r="F38" s="1145">
        <f aca="true" t="shared" si="2" ref="F38:F44">D38*E38</f>
        <v>0</v>
      </c>
      <c r="G38" s="1145"/>
      <c r="H38" s="1145"/>
      <c r="I38" s="1145"/>
    </row>
    <row r="39" spans="1:8" ht="12.75">
      <c r="A39" s="806" t="s">
        <v>2440</v>
      </c>
      <c r="B39" s="1142" t="s">
        <v>2441</v>
      </c>
      <c r="C39" s="1144" t="s">
        <v>757</v>
      </c>
      <c r="D39" s="1144">
        <v>1</v>
      </c>
      <c r="E39" s="1145">
        <v>0</v>
      </c>
      <c r="F39" s="1145">
        <f t="shared" si="2"/>
        <v>0</v>
      </c>
      <c r="G39" s="1145"/>
      <c r="H39" s="1145"/>
    </row>
    <row r="40" spans="1:8" ht="12.75">
      <c r="A40" s="806" t="s">
        <v>2442</v>
      </c>
      <c r="B40" s="1142" t="s">
        <v>2443</v>
      </c>
      <c r="C40" s="1144" t="s">
        <v>757</v>
      </c>
      <c r="D40" s="1144">
        <v>1</v>
      </c>
      <c r="E40" s="1145">
        <v>0</v>
      </c>
      <c r="F40" s="1145">
        <f t="shared" si="2"/>
        <v>0</v>
      </c>
      <c r="G40" s="1145"/>
      <c r="H40" s="1145"/>
    </row>
    <row r="41" spans="1:8" ht="12.75">
      <c r="A41" s="806" t="s">
        <v>2444</v>
      </c>
      <c r="B41" s="1142" t="s">
        <v>2445</v>
      </c>
      <c r="C41" s="1144" t="s">
        <v>757</v>
      </c>
      <c r="D41" s="1144">
        <v>1</v>
      </c>
      <c r="E41" s="1145">
        <v>0</v>
      </c>
      <c r="F41" s="1145">
        <f t="shared" si="2"/>
        <v>0</v>
      </c>
      <c r="G41" s="1145"/>
      <c r="H41" s="1145"/>
    </row>
    <row r="42" spans="1:8" ht="12.75">
      <c r="A42" s="806" t="s">
        <v>2446</v>
      </c>
      <c r="B42" s="1142" t="s">
        <v>2447</v>
      </c>
      <c r="C42" s="1144" t="s">
        <v>757</v>
      </c>
      <c r="D42" s="1144">
        <v>1</v>
      </c>
      <c r="E42" s="1145">
        <v>0</v>
      </c>
      <c r="F42" s="1145">
        <f t="shared" si="2"/>
        <v>0</v>
      </c>
      <c r="G42" s="1145"/>
      <c r="H42" s="1145"/>
    </row>
    <row r="43" spans="1:8" ht="12.75">
      <c r="A43" s="806" t="s">
        <v>2448</v>
      </c>
      <c r="B43" s="1142" t="s">
        <v>2449</v>
      </c>
      <c r="C43" s="1144" t="s">
        <v>757</v>
      </c>
      <c r="D43" s="1144">
        <v>24</v>
      </c>
      <c r="E43" s="1145">
        <v>0</v>
      </c>
      <c r="F43" s="1145">
        <f t="shared" si="2"/>
        <v>0</v>
      </c>
      <c r="G43" s="1145"/>
      <c r="H43" s="1145"/>
    </row>
    <row r="44" spans="1:8" ht="12.75">
      <c r="A44" s="806" t="s">
        <v>2450</v>
      </c>
      <c r="B44" s="1142" t="s">
        <v>2451</v>
      </c>
      <c r="C44" s="1144" t="s">
        <v>757</v>
      </c>
      <c r="D44" s="1144">
        <v>24</v>
      </c>
      <c r="E44" s="1145">
        <v>0</v>
      </c>
      <c r="F44" s="1145">
        <f t="shared" si="2"/>
        <v>0</v>
      </c>
      <c r="G44" s="1145"/>
      <c r="H44" s="1145"/>
    </row>
    <row r="45" spans="1:8" ht="12.75">
      <c r="A45" s="1719" t="s">
        <v>2452</v>
      </c>
      <c r="B45" s="1719"/>
      <c r="C45" s="1719"/>
      <c r="D45" s="1719"/>
      <c r="E45" s="1719"/>
      <c r="F45" s="1719"/>
      <c r="H45" s="1145"/>
    </row>
    <row r="46" spans="1:8" ht="12.75">
      <c r="A46" s="806" t="s">
        <v>2453</v>
      </c>
      <c r="B46" s="1142" t="s">
        <v>2454</v>
      </c>
      <c r="C46" s="1144" t="s">
        <v>757</v>
      </c>
      <c r="D46" s="1144">
        <v>72</v>
      </c>
      <c r="E46" s="1145">
        <v>0</v>
      </c>
      <c r="F46" s="1145">
        <f aca="true" t="shared" si="3" ref="F46:F53">D46*E46</f>
        <v>0</v>
      </c>
      <c r="G46" s="1145"/>
      <c r="H46" s="1145"/>
    </row>
    <row r="47" spans="1:8" ht="12.75">
      <c r="A47" s="806" t="s">
        <v>2455</v>
      </c>
      <c r="B47" s="1142" t="s">
        <v>2456</v>
      </c>
      <c r="C47" s="1144" t="s">
        <v>757</v>
      </c>
      <c r="D47" s="1144">
        <v>72</v>
      </c>
      <c r="E47" s="1145">
        <v>0</v>
      </c>
      <c r="F47" s="1145">
        <f t="shared" si="3"/>
        <v>0</v>
      </c>
      <c r="G47" s="1145"/>
      <c r="H47" s="1145"/>
    </row>
    <row r="48" spans="1:8" ht="12.75">
      <c r="A48" s="806" t="s">
        <v>2457</v>
      </c>
      <c r="B48" s="1142" t="s">
        <v>2458</v>
      </c>
      <c r="C48" s="1144" t="s">
        <v>757</v>
      </c>
      <c r="D48" s="1144">
        <v>24</v>
      </c>
      <c r="E48" s="1145">
        <v>0</v>
      </c>
      <c r="F48" s="1145">
        <f t="shared" si="3"/>
        <v>0</v>
      </c>
      <c r="G48" s="1145"/>
      <c r="H48" s="1145"/>
    </row>
    <row r="49" spans="1:8" ht="12.75">
      <c r="A49" s="806" t="s">
        <v>2459</v>
      </c>
      <c r="B49" s="1142" t="s">
        <v>2460</v>
      </c>
      <c r="C49" s="1144" t="s">
        <v>757</v>
      </c>
      <c r="D49" s="1144">
        <v>24</v>
      </c>
      <c r="E49" s="1145">
        <v>0</v>
      </c>
      <c r="F49" s="1145">
        <f t="shared" si="3"/>
        <v>0</v>
      </c>
      <c r="G49" s="1145"/>
      <c r="H49" s="1145"/>
    </row>
    <row r="50" spans="1:8" ht="12.75">
      <c r="A50" s="806" t="s">
        <v>2461</v>
      </c>
      <c r="B50" s="1142" t="s">
        <v>2462</v>
      </c>
      <c r="C50" s="1144" t="s">
        <v>757</v>
      </c>
      <c r="D50" s="1144">
        <v>11</v>
      </c>
      <c r="E50" s="1145">
        <v>0</v>
      </c>
      <c r="F50" s="1145">
        <f t="shared" si="3"/>
        <v>0</v>
      </c>
      <c r="G50" s="1145"/>
      <c r="H50" s="1145"/>
    </row>
    <row r="51" spans="1:8" ht="12.75">
      <c r="A51" s="806" t="s">
        <v>2463</v>
      </c>
      <c r="B51" s="1142" t="s">
        <v>2464</v>
      </c>
      <c r="C51" s="1144" t="s">
        <v>757</v>
      </c>
      <c r="D51" s="1144">
        <v>24</v>
      </c>
      <c r="E51" s="1145">
        <v>0</v>
      </c>
      <c r="F51" s="1145">
        <f t="shared" si="3"/>
        <v>0</v>
      </c>
      <c r="G51" s="1145"/>
      <c r="H51" s="1145"/>
    </row>
    <row r="52" spans="1:8" ht="12.75">
      <c r="A52" s="806" t="s">
        <v>2465</v>
      </c>
      <c r="B52" s="1142" t="s">
        <v>2466</v>
      </c>
      <c r="C52" s="1144" t="s">
        <v>2404</v>
      </c>
      <c r="D52" s="1144">
        <v>3600</v>
      </c>
      <c r="E52" s="1145">
        <v>0</v>
      </c>
      <c r="F52" s="1145">
        <f t="shared" si="3"/>
        <v>0</v>
      </c>
      <c r="G52" s="1145"/>
      <c r="H52" s="1145"/>
    </row>
    <row r="53" spans="1:8" ht="12.75">
      <c r="A53" s="806" t="s">
        <v>2467</v>
      </c>
      <c r="B53" s="1142" t="s">
        <v>2468</v>
      </c>
      <c r="C53" s="1144" t="s">
        <v>2404</v>
      </c>
      <c r="D53" s="1144">
        <v>3600</v>
      </c>
      <c r="E53" s="1145">
        <v>0</v>
      </c>
      <c r="F53" s="1145">
        <f t="shared" si="3"/>
        <v>0</v>
      </c>
      <c r="G53" s="1145"/>
      <c r="H53" s="1145"/>
    </row>
    <row r="54" spans="1:6" ht="12.75">
      <c r="A54" s="1719" t="s">
        <v>2469</v>
      </c>
      <c r="B54" s="1719"/>
      <c r="C54" s="1719"/>
      <c r="D54" s="1719"/>
      <c r="E54" s="1719"/>
      <c r="F54" s="1719"/>
    </row>
    <row r="55" spans="1:8" ht="12.75">
      <c r="A55" s="806" t="s">
        <v>2470</v>
      </c>
      <c r="B55" s="1142" t="s">
        <v>2471</v>
      </c>
      <c r="C55" s="1144" t="s">
        <v>757</v>
      </c>
      <c r="D55" s="1144">
        <v>642</v>
      </c>
      <c r="E55" s="1145">
        <v>0</v>
      </c>
      <c r="F55" s="1145">
        <f>D55*E55</f>
        <v>0</v>
      </c>
      <c r="G55" s="1145"/>
      <c r="H55" s="1145"/>
    </row>
    <row r="56" spans="1:8" ht="12.75">
      <c r="A56" s="806" t="s">
        <v>2472</v>
      </c>
      <c r="B56" s="1142" t="s">
        <v>2473</v>
      </c>
      <c r="C56" s="1144" t="s">
        <v>757</v>
      </c>
      <c r="D56" s="1144">
        <v>642</v>
      </c>
      <c r="E56" s="1145">
        <v>0</v>
      </c>
      <c r="F56" s="1145">
        <f>D56*E56</f>
        <v>0</v>
      </c>
      <c r="G56" s="1145"/>
      <c r="H56" s="1145"/>
    </row>
    <row r="57" spans="1:8" ht="12.75">
      <c r="A57" s="806" t="s">
        <v>2474</v>
      </c>
      <c r="B57" s="1142" t="s">
        <v>2475</v>
      </c>
      <c r="C57" s="1144" t="s">
        <v>757</v>
      </c>
      <c r="D57" s="1144">
        <v>642</v>
      </c>
      <c r="E57" s="1145">
        <v>0</v>
      </c>
      <c r="F57" s="1145">
        <f>D57*E57</f>
        <v>0</v>
      </c>
      <c r="G57" s="1145"/>
      <c r="H57" s="1145"/>
    </row>
    <row r="58" spans="1:8" ht="12.75">
      <c r="A58" s="806" t="s">
        <v>2476</v>
      </c>
      <c r="B58" s="1142" t="s">
        <v>2477</v>
      </c>
      <c r="C58" s="1144" t="s">
        <v>757</v>
      </c>
      <c r="D58" s="1144">
        <v>23</v>
      </c>
      <c r="E58" s="1145">
        <v>0</v>
      </c>
      <c r="F58" s="1145">
        <f>D58*E58</f>
        <v>0</v>
      </c>
      <c r="G58" s="1145"/>
      <c r="H58" s="1145"/>
    </row>
    <row r="59" spans="1:8" ht="12.75">
      <c r="A59" s="806" t="s">
        <v>2478</v>
      </c>
      <c r="B59" s="1142" t="s">
        <v>2479</v>
      </c>
      <c r="C59" s="1144" t="s">
        <v>757</v>
      </c>
      <c r="D59" s="1144">
        <v>642</v>
      </c>
      <c r="E59" s="1145">
        <v>0</v>
      </c>
      <c r="F59" s="1145">
        <f>D59*E59</f>
        <v>0</v>
      </c>
      <c r="G59" s="1145"/>
      <c r="H59" s="1145"/>
    </row>
    <row r="60" spans="1:6" ht="12.75">
      <c r="A60" s="1720" t="s">
        <v>2480</v>
      </c>
      <c r="B60" s="1720"/>
      <c r="C60" s="1720"/>
      <c r="D60" s="1720"/>
      <c r="E60" s="1720"/>
      <c r="F60" s="1720"/>
    </row>
    <row r="61" spans="3:6" ht="12.75">
      <c r="C61" s="1144"/>
      <c r="D61" s="1144"/>
      <c r="E61" s="1145"/>
      <c r="F61" s="1145"/>
    </row>
    <row r="62" spans="1:6" ht="12.75">
      <c r="A62" s="1719" t="s">
        <v>2481</v>
      </c>
      <c r="B62" s="1719"/>
      <c r="C62" s="1719"/>
      <c r="D62" s="1719"/>
      <c r="E62" s="1719"/>
      <c r="F62" s="1147"/>
    </row>
    <row r="63" spans="1:8" ht="12.75">
      <c r="A63" s="806" t="s">
        <v>2482</v>
      </c>
      <c r="B63" s="1142" t="s">
        <v>2483</v>
      </c>
      <c r="C63" s="1144" t="s">
        <v>2404</v>
      </c>
      <c r="D63" s="1144">
        <v>2000</v>
      </c>
      <c r="E63" s="1145">
        <v>0</v>
      </c>
      <c r="F63" s="1145">
        <f aca="true" t="shared" si="4" ref="F63:F70">D63*E63</f>
        <v>0</v>
      </c>
      <c r="G63" s="1145"/>
      <c r="H63" s="1145"/>
    </row>
    <row r="64" spans="1:8" ht="12.75">
      <c r="A64" s="806" t="s">
        <v>2484</v>
      </c>
      <c r="B64" s="1142" t="s">
        <v>2485</v>
      </c>
      <c r="C64" s="1144" t="s">
        <v>757</v>
      </c>
      <c r="D64" s="1144">
        <v>1000</v>
      </c>
      <c r="E64" s="1145">
        <v>0</v>
      </c>
      <c r="F64" s="1145">
        <f t="shared" si="4"/>
        <v>0</v>
      </c>
      <c r="G64" s="1145"/>
      <c r="H64" s="1145"/>
    </row>
    <row r="65" spans="1:8" ht="12.75">
      <c r="A65" s="806" t="s">
        <v>2486</v>
      </c>
      <c r="B65" s="1142" t="s">
        <v>2487</v>
      </c>
      <c r="C65" s="1144" t="s">
        <v>757</v>
      </c>
      <c r="D65" s="1144">
        <v>30</v>
      </c>
      <c r="E65" s="1145">
        <v>0</v>
      </c>
      <c r="F65" s="1145">
        <f t="shared" si="4"/>
        <v>0</v>
      </c>
      <c r="G65" s="1145"/>
      <c r="H65" s="1145"/>
    </row>
    <row r="66" spans="1:8" ht="12.75">
      <c r="A66" s="806" t="s">
        <v>2488</v>
      </c>
      <c r="B66" s="1142" t="s">
        <v>2489</v>
      </c>
      <c r="C66" s="1144" t="s">
        <v>757</v>
      </c>
      <c r="D66" s="1144">
        <v>100</v>
      </c>
      <c r="E66" s="1145">
        <v>0</v>
      </c>
      <c r="F66" s="1145">
        <f t="shared" si="4"/>
        <v>0</v>
      </c>
      <c r="G66" s="1145"/>
      <c r="H66" s="1145"/>
    </row>
    <row r="67" spans="1:8" ht="12.75">
      <c r="A67" s="806" t="s">
        <v>2490</v>
      </c>
      <c r="B67" s="1142" t="s">
        <v>2491</v>
      </c>
      <c r="C67" s="1144" t="s">
        <v>757</v>
      </c>
      <c r="D67" s="1144">
        <v>100</v>
      </c>
      <c r="E67" s="1145">
        <v>0</v>
      </c>
      <c r="F67" s="1145">
        <f t="shared" si="4"/>
        <v>0</v>
      </c>
      <c r="G67" s="1145"/>
      <c r="H67" s="1145"/>
    </row>
    <row r="68" spans="1:8" ht="12.75">
      <c r="A68" s="806" t="s">
        <v>2492</v>
      </c>
      <c r="B68" s="1142" t="s">
        <v>2493</v>
      </c>
      <c r="C68" s="1144" t="s">
        <v>757</v>
      </c>
      <c r="D68" s="1144">
        <v>50</v>
      </c>
      <c r="E68" s="1145">
        <v>0</v>
      </c>
      <c r="F68" s="1145">
        <f t="shared" si="4"/>
        <v>0</v>
      </c>
      <c r="G68" s="1145"/>
      <c r="H68" s="1145"/>
    </row>
    <row r="69" spans="1:8" ht="12.75">
      <c r="A69" s="806" t="s">
        <v>2494</v>
      </c>
      <c r="B69" s="1142" t="s">
        <v>2495</v>
      </c>
      <c r="C69" s="1144" t="s">
        <v>757</v>
      </c>
      <c r="D69" s="1144">
        <v>650</v>
      </c>
      <c r="E69" s="1145">
        <v>0</v>
      </c>
      <c r="F69" s="1145">
        <f t="shared" si="4"/>
        <v>0</v>
      </c>
      <c r="G69" s="1145"/>
      <c r="H69" s="1145"/>
    </row>
    <row r="70" spans="1:8" ht="12.75">
      <c r="A70" s="806" t="s">
        <v>2496</v>
      </c>
      <c r="B70" s="1142" t="s">
        <v>2497</v>
      </c>
      <c r="C70" s="1144" t="s">
        <v>2404</v>
      </c>
      <c r="D70" s="1144">
        <v>200</v>
      </c>
      <c r="E70" s="1145">
        <v>0</v>
      </c>
      <c r="F70" s="1145">
        <f t="shared" si="4"/>
        <v>0</v>
      </c>
      <c r="G70" s="1145"/>
      <c r="H70" s="1145"/>
    </row>
    <row r="71" spans="3:6" ht="12.75">
      <c r="C71" s="1144"/>
      <c r="D71" s="1144"/>
      <c r="E71" s="1145"/>
      <c r="F71" s="1145"/>
    </row>
    <row r="72" spans="1:6" ht="12.75">
      <c r="A72" s="1719" t="s">
        <v>2498</v>
      </c>
      <c r="B72" s="1719"/>
      <c r="C72" s="1719"/>
      <c r="D72" s="1719"/>
      <c r="E72" s="1719"/>
      <c r="F72" s="1147"/>
    </row>
    <row r="73" spans="1:8" ht="12.75">
      <c r="A73" s="806" t="s">
        <v>2499</v>
      </c>
      <c r="B73" s="1142" t="s">
        <v>2500</v>
      </c>
      <c r="C73" s="1144" t="s">
        <v>757</v>
      </c>
      <c r="D73" s="1144">
        <v>400</v>
      </c>
      <c r="E73" s="1145">
        <v>0</v>
      </c>
      <c r="F73" s="1145">
        <f aca="true" t="shared" si="5" ref="F73:F79">D73*E73</f>
        <v>0</v>
      </c>
      <c r="G73" s="1145"/>
      <c r="H73" s="1145"/>
    </row>
    <row r="74" spans="1:8" ht="12.75">
      <c r="A74" s="806" t="s">
        <v>2501</v>
      </c>
      <c r="B74" s="1142" t="s">
        <v>2502</v>
      </c>
      <c r="C74" s="1144" t="s">
        <v>757</v>
      </c>
      <c r="D74" s="1144">
        <v>800</v>
      </c>
      <c r="E74" s="1145">
        <v>0</v>
      </c>
      <c r="F74" s="1145">
        <f t="shared" si="5"/>
        <v>0</v>
      </c>
      <c r="G74" s="1145"/>
      <c r="H74" s="1145"/>
    </row>
    <row r="75" spans="1:8" ht="12.75">
      <c r="A75" s="806" t="s">
        <v>2503</v>
      </c>
      <c r="B75" s="1142" t="s">
        <v>2504</v>
      </c>
      <c r="C75" s="1144" t="s">
        <v>757</v>
      </c>
      <c r="D75" s="1144">
        <v>400</v>
      </c>
      <c r="E75" s="1145">
        <v>0</v>
      </c>
      <c r="F75" s="1145">
        <f t="shared" si="5"/>
        <v>0</v>
      </c>
      <c r="G75" s="1145"/>
      <c r="H75" s="1145"/>
    </row>
    <row r="76" spans="1:8" ht="12.75">
      <c r="A76" s="806" t="s">
        <v>2505</v>
      </c>
      <c r="B76" s="1142" t="s">
        <v>2506</v>
      </c>
      <c r="C76" s="1144" t="s">
        <v>757</v>
      </c>
      <c r="D76" s="1144">
        <v>1200</v>
      </c>
      <c r="E76" s="1145">
        <v>0</v>
      </c>
      <c r="F76" s="1145">
        <f t="shared" si="5"/>
        <v>0</v>
      </c>
      <c r="G76" s="1145"/>
      <c r="H76" s="1145"/>
    </row>
    <row r="77" spans="1:8" ht="12.75">
      <c r="A77" s="806" t="s">
        <v>2507</v>
      </c>
      <c r="B77" s="1142" t="s">
        <v>2497</v>
      </c>
      <c r="C77" s="1144" t="s">
        <v>2404</v>
      </c>
      <c r="D77" s="1144">
        <v>600</v>
      </c>
      <c r="E77" s="1145">
        <v>0</v>
      </c>
      <c r="F77" s="1145">
        <f t="shared" si="5"/>
        <v>0</v>
      </c>
      <c r="G77" s="1145"/>
      <c r="H77" s="1145"/>
    </row>
    <row r="78" spans="1:8" ht="12.75">
      <c r="A78" s="806" t="s">
        <v>2508</v>
      </c>
      <c r="B78" s="1142" t="s">
        <v>2509</v>
      </c>
      <c r="C78" s="1144" t="s">
        <v>757</v>
      </c>
      <c r="D78" s="1144">
        <v>1600</v>
      </c>
      <c r="E78" s="1145">
        <v>0</v>
      </c>
      <c r="F78" s="1145">
        <f t="shared" si="5"/>
        <v>0</v>
      </c>
      <c r="G78" s="1145"/>
      <c r="H78" s="1145"/>
    </row>
    <row r="79" spans="1:8" ht="12.75">
      <c r="A79" s="806" t="s">
        <v>2510</v>
      </c>
      <c r="B79" s="1142" t="s">
        <v>2511</v>
      </c>
      <c r="C79" s="1144" t="s">
        <v>2404</v>
      </c>
      <c r="D79" s="1144">
        <v>800</v>
      </c>
      <c r="E79" s="1145">
        <v>0</v>
      </c>
      <c r="F79" s="1145">
        <f t="shared" si="5"/>
        <v>0</v>
      </c>
      <c r="G79" s="1145"/>
      <c r="H79" s="1145"/>
    </row>
    <row r="80" spans="1:7" ht="12.75">
      <c r="A80" s="1719" t="s">
        <v>2512</v>
      </c>
      <c r="B80" s="1719"/>
      <c r="C80" s="1719"/>
      <c r="D80" s="1719"/>
      <c r="E80" s="1719"/>
      <c r="F80" s="1147"/>
      <c r="G80" s="1145"/>
    </row>
    <row r="81" spans="1:8" ht="12.75">
      <c r="A81" s="806" t="s">
        <v>2513</v>
      </c>
      <c r="B81" s="1142" t="s">
        <v>2514</v>
      </c>
      <c r="C81" s="1144" t="s">
        <v>2404</v>
      </c>
      <c r="D81" s="1144">
        <v>1600</v>
      </c>
      <c r="E81" s="1145">
        <v>0</v>
      </c>
      <c r="F81" s="1145">
        <f>D81*E81</f>
        <v>0</v>
      </c>
      <c r="G81" s="1145"/>
      <c r="H81" s="1145"/>
    </row>
    <row r="82" spans="1:8" ht="12.75">
      <c r="A82" s="806" t="s">
        <v>2515</v>
      </c>
      <c r="B82" s="1143" t="s">
        <v>2516</v>
      </c>
      <c r="C82" s="1144" t="s">
        <v>181</v>
      </c>
      <c r="D82" s="1144">
        <v>1</v>
      </c>
      <c r="E82" s="1145">
        <v>0</v>
      </c>
      <c r="F82" s="1145">
        <f>D82*E82</f>
        <v>0</v>
      </c>
      <c r="G82" s="1145"/>
      <c r="H82" s="1145"/>
    </row>
    <row r="83" spans="1:8" ht="12.75">
      <c r="A83" s="806" t="s">
        <v>2517</v>
      </c>
      <c r="B83" s="1142" t="s">
        <v>2518</v>
      </c>
      <c r="C83" s="1144" t="s">
        <v>757</v>
      </c>
      <c r="D83" s="1144">
        <v>672</v>
      </c>
      <c r="E83" s="1145">
        <v>0</v>
      </c>
      <c r="F83" s="1145">
        <f>D83*E83</f>
        <v>0</v>
      </c>
      <c r="G83" s="1145"/>
      <c r="H83" s="1145"/>
    </row>
    <row r="84" spans="1:6" ht="12.75">
      <c r="A84" s="1719" t="s">
        <v>2519</v>
      </c>
      <c r="B84" s="1719"/>
      <c r="C84" s="1719"/>
      <c r="D84" s="1719"/>
      <c r="E84" s="1719"/>
      <c r="F84" s="1147"/>
    </row>
    <row r="85" spans="1:8" ht="12.75">
      <c r="A85" s="806" t="s">
        <v>2520</v>
      </c>
      <c r="B85" s="1142" t="s">
        <v>2521</v>
      </c>
      <c r="C85" s="1144" t="s">
        <v>757</v>
      </c>
      <c r="D85" s="1144">
        <v>20</v>
      </c>
      <c r="E85" s="1145">
        <v>0</v>
      </c>
      <c r="F85" s="1145">
        <f>D85*E85</f>
        <v>0</v>
      </c>
      <c r="G85" s="1145"/>
      <c r="H85" s="1145"/>
    </row>
    <row r="86" spans="1:8" ht="12.75">
      <c r="A86" s="806" t="s">
        <v>2522</v>
      </c>
      <c r="B86" s="1142" t="s">
        <v>2523</v>
      </c>
      <c r="C86" s="1144" t="s">
        <v>757</v>
      </c>
      <c r="D86" s="1144">
        <v>10</v>
      </c>
      <c r="E86" s="1145">
        <v>0</v>
      </c>
      <c r="F86" s="1145">
        <f>D86*E86</f>
        <v>0</v>
      </c>
      <c r="G86" s="1145"/>
      <c r="H86" s="1145"/>
    </row>
    <row r="87" spans="1:8" ht="12.75">
      <c r="A87" s="806" t="s">
        <v>2524</v>
      </c>
      <c r="B87" s="1142" t="s">
        <v>2525</v>
      </c>
      <c r="C87" s="1144" t="s">
        <v>757</v>
      </c>
      <c r="D87" s="1144">
        <v>10</v>
      </c>
      <c r="E87" s="1145">
        <v>0</v>
      </c>
      <c r="F87" s="1145">
        <f>D87*E87</f>
        <v>0</v>
      </c>
      <c r="G87" s="1145"/>
      <c r="H87" s="1145"/>
    </row>
    <row r="88" spans="1:8" ht="12.75">
      <c r="A88" s="806" t="s">
        <v>2526</v>
      </c>
      <c r="B88" s="1142" t="s">
        <v>2527</v>
      </c>
      <c r="C88" s="1144" t="s">
        <v>757</v>
      </c>
      <c r="D88" s="1144">
        <v>20</v>
      </c>
      <c r="E88" s="1145">
        <v>0</v>
      </c>
      <c r="F88" s="1145">
        <f>D88*E88</f>
        <v>0</v>
      </c>
      <c r="G88" s="1145"/>
      <c r="H88" s="1145"/>
    </row>
    <row r="89" spans="1:6" ht="12.75">
      <c r="A89" s="1719" t="s">
        <v>2528</v>
      </c>
      <c r="B89" s="1719"/>
      <c r="C89" s="1719"/>
      <c r="D89" s="1719"/>
      <c r="E89" s="1719"/>
      <c r="F89" s="1147"/>
    </row>
    <row r="90" spans="1:8" ht="12.75">
      <c r="A90" s="806" t="s">
        <v>2529</v>
      </c>
      <c r="B90" s="1142" t="s">
        <v>2397</v>
      </c>
      <c r="C90" s="1144" t="s">
        <v>757</v>
      </c>
      <c r="D90" s="1144">
        <v>2</v>
      </c>
      <c r="E90" s="1145">
        <v>0</v>
      </c>
      <c r="F90" s="1145">
        <f>D90*E90</f>
        <v>0</v>
      </c>
      <c r="H90" s="1145"/>
    </row>
    <row r="91" spans="1:8" ht="12.75">
      <c r="A91" s="806" t="s">
        <v>2530</v>
      </c>
      <c r="B91" s="1142" t="s">
        <v>2531</v>
      </c>
      <c r="C91" s="1144" t="s">
        <v>757</v>
      </c>
      <c r="D91" s="1144">
        <v>2</v>
      </c>
      <c r="E91" s="1145">
        <v>0</v>
      </c>
      <c r="F91" s="1145">
        <f>D91*E91</f>
        <v>0</v>
      </c>
      <c r="H91" s="1145"/>
    </row>
    <row r="92" spans="1:8" ht="12.75">
      <c r="A92" s="806" t="s">
        <v>2532</v>
      </c>
      <c r="B92" s="1142" t="s">
        <v>2533</v>
      </c>
      <c r="C92" s="1144" t="s">
        <v>181</v>
      </c>
      <c r="D92" s="1144">
        <v>3</v>
      </c>
      <c r="E92" s="1145">
        <v>0</v>
      </c>
      <c r="F92" s="1145">
        <f>D92*E92</f>
        <v>0</v>
      </c>
      <c r="H92" s="1145"/>
    </row>
    <row r="93" spans="1:8" ht="12.75">
      <c r="A93" s="806" t="s">
        <v>2534</v>
      </c>
      <c r="B93" s="1142" t="s">
        <v>2535</v>
      </c>
      <c r="C93" s="1144" t="s">
        <v>757</v>
      </c>
      <c r="D93" s="1144">
        <v>3</v>
      </c>
      <c r="E93" s="1145">
        <v>0</v>
      </c>
      <c r="F93" s="1145">
        <f>D93*E93</f>
        <v>0</v>
      </c>
      <c r="H93" s="1145"/>
    </row>
    <row r="95" spans="1:6" ht="12.75">
      <c r="A95" s="1718" t="s">
        <v>2536</v>
      </c>
      <c r="B95" s="1718"/>
      <c r="C95" s="1718"/>
      <c r="D95" s="1718"/>
      <c r="E95" s="1718"/>
      <c r="F95" s="1148"/>
    </row>
    <row r="96" spans="2:6" ht="12.75">
      <c r="B96" s="1142" t="s">
        <v>2537</v>
      </c>
      <c r="C96" s="1149" t="s">
        <v>2538</v>
      </c>
      <c r="D96" s="1144"/>
      <c r="E96" s="1145"/>
      <c r="F96" s="1150">
        <f>SUM(F3:F93)</f>
        <v>0</v>
      </c>
    </row>
    <row r="97" spans="3:6" ht="12.75">
      <c r="C97" s="1149"/>
      <c r="D97" s="1144"/>
      <c r="E97" s="1145"/>
      <c r="F97" s="1150"/>
    </row>
    <row r="98" spans="3:6" ht="12.75">
      <c r="C98" s="1149"/>
      <c r="D98" s="1144"/>
      <c r="E98" s="1145"/>
      <c r="F98" s="1150"/>
    </row>
    <row r="99" spans="3:6" ht="12.75">
      <c r="C99" s="1149"/>
      <c r="D99" s="1144"/>
      <c r="E99" s="1145"/>
      <c r="F99" s="1150"/>
    </row>
    <row r="100" spans="1:6" ht="12.75">
      <c r="A100" s="1720" t="s">
        <v>2539</v>
      </c>
      <c r="B100" s="1720"/>
      <c r="C100" s="1720"/>
      <c r="D100" s="1720"/>
      <c r="E100" s="1720"/>
      <c r="F100" s="1151"/>
    </row>
    <row r="101" spans="1:6" ht="12.75">
      <c r="A101" s="806" t="s">
        <v>2540</v>
      </c>
      <c r="B101" s="1142" t="s">
        <v>2541</v>
      </c>
      <c r="C101" s="1144" t="s">
        <v>2404</v>
      </c>
      <c r="D101" s="1144">
        <v>4500</v>
      </c>
      <c r="E101" s="1145">
        <v>0</v>
      </c>
      <c r="F101" s="1145">
        <f aca="true" t="shared" si="6" ref="F101:F107">D101*E101</f>
        <v>0</v>
      </c>
    </row>
    <row r="102" spans="1:6" ht="12.75">
      <c r="A102" s="806" t="s">
        <v>2542</v>
      </c>
      <c r="B102" s="1142" t="s">
        <v>2543</v>
      </c>
      <c r="C102" s="1144" t="s">
        <v>757</v>
      </c>
      <c r="D102" s="1144">
        <v>1</v>
      </c>
      <c r="E102" s="1145">
        <v>0</v>
      </c>
      <c r="F102" s="1145">
        <f t="shared" si="6"/>
        <v>0</v>
      </c>
    </row>
    <row r="103" spans="1:6" ht="12.75">
      <c r="A103" s="806" t="s">
        <v>2544</v>
      </c>
      <c r="B103" s="1142" t="s">
        <v>2545</v>
      </c>
      <c r="C103" s="1144" t="s">
        <v>757</v>
      </c>
      <c r="D103" s="1144">
        <v>1</v>
      </c>
      <c r="E103" s="1145">
        <v>0</v>
      </c>
      <c r="F103" s="1145">
        <f t="shared" si="6"/>
        <v>0</v>
      </c>
    </row>
    <row r="104" spans="1:6" ht="12.75">
      <c r="A104" s="806" t="s">
        <v>2546</v>
      </c>
      <c r="B104" s="1142" t="s">
        <v>2547</v>
      </c>
      <c r="C104" s="1144" t="s">
        <v>757</v>
      </c>
      <c r="D104" s="1144">
        <v>1</v>
      </c>
      <c r="E104" s="1145">
        <v>0</v>
      </c>
      <c r="F104" s="1145">
        <f t="shared" si="6"/>
        <v>0</v>
      </c>
    </row>
    <row r="105" spans="1:6" ht="12.75">
      <c r="A105" s="806" t="s">
        <v>2548</v>
      </c>
      <c r="B105" s="1142" t="s">
        <v>2549</v>
      </c>
      <c r="C105" s="1144" t="s">
        <v>2550</v>
      </c>
      <c r="D105" s="1144">
        <v>8</v>
      </c>
      <c r="E105" s="1145">
        <v>0</v>
      </c>
      <c r="F105" s="1145">
        <f t="shared" si="6"/>
        <v>0</v>
      </c>
    </row>
    <row r="106" spans="1:6" ht="12.75">
      <c r="A106" s="806" t="s">
        <v>2551</v>
      </c>
      <c r="B106" s="1142" t="s">
        <v>2552</v>
      </c>
      <c r="C106" s="1144" t="s">
        <v>757</v>
      </c>
      <c r="D106" s="1144">
        <v>1</v>
      </c>
      <c r="E106" s="1145">
        <v>0</v>
      </c>
      <c r="F106" s="1145">
        <f t="shared" si="6"/>
        <v>0</v>
      </c>
    </row>
    <row r="107" spans="1:6" ht="12.75">
      <c r="A107" s="806" t="s">
        <v>2553</v>
      </c>
      <c r="B107" s="1142" t="s">
        <v>2554</v>
      </c>
      <c r="C107" s="1144" t="s">
        <v>2550</v>
      </c>
      <c r="D107" s="1144">
        <v>2</v>
      </c>
      <c r="E107" s="1145">
        <v>0</v>
      </c>
      <c r="F107" s="1145">
        <f t="shared" si="6"/>
        <v>0</v>
      </c>
    </row>
    <row r="108" spans="1:6" ht="12.75">
      <c r="A108" s="1718" t="s">
        <v>2555</v>
      </c>
      <c r="B108" s="1718"/>
      <c r="C108" s="1718"/>
      <c r="D108" s="1718"/>
      <c r="E108" s="1718"/>
      <c r="F108" s="1148"/>
    </row>
    <row r="109" spans="2:6" ht="12.75">
      <c r="B109" s="1142" t="s">
        <v>2556</v>
      </c>
      <c r="C109" s="1149" t="s">
        <v>2538</v>
      </c>
      <c r="D109" s="1144"/>
      <c r="E109" s="1145"/>
      <c r="F109" s="1150">
        <f>SUM(F101:F108)</f>
        <v>0</v>
      </c>
    </row>
    <row r="112" spans="1:6" ht="12.75">
      <c r="A112" s="1718" t="s">
        <v>2555</v>
      </c>
      <c r="B112" s="1718"/>
      <c r="C112" s="1718"/>
      <c r="D112" s="1718"/>
      <c r="E112" s="1718"/>
      <c r="F112" s="1148"/>
    </row>
    <row r="113" spans="2:8" ht="12.75">
      <c r="B113" s="1142" t="s">
        <v>2557</v>
      </c>
      <c r="C113" s="1149" t="s">
        <v>2538</v>
      </c>
      <c r="D113" s="1144"/>
      <c r="E113" s="1145"/>
      <c r="F113" s="1150">
        <f>F96+F109</f>
        <v>0</v>
      </c>
      <c r="H113" s="1152"/>
    </row>
    <row r="114" spans="2:6" ht="12.75">
      <c r="B114" s="1142" t="s">
        <v>1694</v>
      </c>
      <c r="C114" s="1149"/>
      <c r="D114" s="1144"/>
      <c r="E114" s="1145"/>
      <c r="F114" s="1150">
        <v>0</v>
      </c>
    </row>
    <row r="115" spans="2:6" ht="12.75">
      <c r="B115" s="1142" t="s">
        <v>2557</v>
      </c>
      <c r="C115" s="1149" t="s">
        <v>2538</v>
      </c>
      <c r="D115" s="1144"/>
      <c r="E115" s="1145"/>
      <c r="F115" s="1150">
        <f>F113+F114</f>
        <v>0</v>
      </c>
    </row>
    <row r="116" spans="2:8" ht="12.75">
      <c r="B116" s="1142" t="s">
        <v>2558</v>
      </c>
      <c r="C116" s="1149"/>
      <c r="D116" s="1144"/>
      <c r="E116" s="1145"/>
      <c r="F116" s="1150">
        <f>F117-F115</f>
        <v>0</v>
      </c>
      <c r="H116" s="1153">
        <v>1.21</v>
      </c>
    </row>
    <row r="117" spans="2:6" ht="12.75">
      <c r="B117" s="1142" t="s">
        <v>2557</v>
      </c>
      <c r="C117" s="1149" t="s">
        <v>2559</v>
      </c>
      <c r="D117" s="1144"/>
      <c r="E117" s="1145"/>
      <c r="F117" s="1150">
        <f>F115*H116</f>
        <v>0</v>
      </c>
    </row>
    <row r="120" ht="12.75">
      <c r="F120" s="1145"/>
    </row>
    <row r="122" ht="12.75">
      <c r="F122" s="1145"/>
    </row>
  </sheetData>
  <sheetProtection selectLockedCells="1" selectUnlockedCells="1"/>
  <mergeCells count="18">
    <mergeCell ref="A37:F37"/>
    <mergeCell ref="A2:F2"/>
    <mergeCell ref="A7:F7"/>
    <mergeCell ref="A19:F19"/>
    <mergeCell ref="A30:F30"/>
    <mergeCell ref="A35:F35"/>
    <mergeCell ref="A112:E112"/>
    <mergeCell ref="A45:F45"/>
    <mergeCell ref="A54:F54"/>
    <mergeCell ref="A60:F60"/>
    <mergeCell ref="A62:E62"/>
    <mergeCell ref="A72:E72"/>
    <mergeCell ref="A80:E80"/>
    <mergeCell ref="A84:E84"/>
    <mergeCell ref="A89:E89"/>
    <mergeCell ref="A95:E95"/>
    <mergeCell ref="A100:E100"/>
    <mergeCell ref="A108:E108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4" fitToWidth="1" horizontalDpi="300" verticalDpi="300" orientation="landscape" paperSize="9" scale="83" r:id="rId1"/>
  <headerFooter alignWithMargins="0">
    <oddHeader>&amp;C&amp;A</oddHeader>
    <oddFooter>&amp;CStránka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142"/>
  <sheetViews>
    <sheetView view="pageBreakPreview" zoomScale="55" zoomScaleSheetLayoutView="55" workbookViewId="0" topLeftCell="A1">
      <pane ySplit="15" topLeftCell="A122" activePane="bottomLeft" state="frozen"/>
      <selection pane="bottomLeft" activeCell="P144" sqref="P144"/>
    </sheetView>
  </sheetViews>
  <sheetFormatPr defaultColWidth="9.125" defaultRowHeight="12.75"/>
  <cols>
    <col min="1" max="1" width="15.50390625" style="0" customWidth="1"/>
    <col min="2" max="2" width="45.375" style="0" customWidth="1"/>
    <col min="3" max="3" width="78.875" style="0" customWidth="1"/>
    <col min="4" max="4" width="28.875" style="0" customWidth="1"/>
    <col min="5" max="5" width="11.375" style="1273" customWidth="1"/>
    <col min="6" max="6" width="23.875" style="0" customWidth="1"/>
    <col min="7" max="7" width="14.50390625" style="0" customWidth="1"/>
    <col min="8" max="8" width="25.375" style="0" customWidth="1"/>
    <col min="9" max="9" width="13.875" style="256" customWidth="1"/>
    <col min="10" max="10" width="20.625" style="256" hidden="1" customWidth="1"/>
    <col min="11" max="11" width="14.625" style="256" customWidth="1"/>
    <col min="12" max="14" width="9.125" style="256" customWidth="1"/>
    <col min="15" max="15" width="9.625" style="256" bestFit="1" customWidth="1"/>
    <col min="16" max="256" width="9.125" style="256" customWidth="1"/>
    <col min="257" max="257" width="15.50390625" style="256" customWidth="1"/>
    <col min="258" max="258" width="45.375" style="256" customWidth="1"/>
    <col min="259" max="259" width="78.875" style="256" customWidth="1"/>
    <col min="260" max="260" width="28.875" style="256" customWidth="1"/>
    <col min="261" max="261" width="11.375" style="256" customWidth="1"/>
    <col min="262" max="262" width="23.875" style="256" customWidth="1"/>
    <col min="263" max="263" width="14.50390625" style="256" customWidth="1"/>
    <col min="264" max="264" width="25.375" style="256" customWidth="1"/>
    <col min="265" max="265" width="13.875" style="256" customWidth="1"/>
    <col min="266" max="266" width="9.125" style="256" hidden="1" customWidth="1"/>
    <col min="267" max="267" width="14.625" style="256" customWidth="1"/>
    <col min="268" max="270" width="9.125" style="256" customWidth="1"/>
    <col min="271" max="271" width="9.625" style="256" bestFit="1" customWidth="1"/>
    <col min="272" max="512" width="9.125" style="256" customWidth="1"/>
    <col min="513" max="513" width="15.50390625" style="256" customWidth="1"/>
    <col min="514" max="514" width="45.375" style="256" customWidth="1"/>
    <col min="515" max="515" width="78.875" style="256" customWidth="1"/>
    <col min="516" max="516" width="28.875" style="256" customWidth="1"/>
    <col min="517" max="517" width="11.375" style="256" customWidth="1"/>
    <col min="518" max="518" width="23.875" style="256" customWidth="1"/>
    <col min="519" max="519" width="14.50390625" style="256" customWidth="1"/>
    <col min="520" max="520" width="25.375" style="256" customWidth="1"/>
    <col min="521" max="521" width="13.875" style="256" customWidth="1"/>
    <col min="522" max="522" width="9.125" style="256" hidden="1" customWidth="1"/>
    <col min="523" max="523" width="14.625" style="256" customWidth="1"/>
    <col min="524" max="526" width="9.125" style="256" customWidth="1"/>
    <col min="527" max="527" width="9.625" style="256" bestFit="1" customWidth="1"/>
    <col min="528" max="768" width="9.125" style="256" customWidth="1"/>
    <col min="769" max="769" width="15.50390625" style="256" customWidth="1"/>
    <col min="770" max="770" width="45.375" style="256" customWidth="1"/>
    <col min="771" max="771" width="78.875" style="256" customWidth="1"/>
    <col min="772" max="772" width="28.875" style="256" customWidth="1"/>
    <col min="773" max="773" width="11.375" style="256" customWidth="1"/>
    <col min="774" max="774" width="23.875" style="256" customWidth="1"/>
    <col min="775" max="775" width="14.50390625" style="256" customWidth="1"/>
    <col min="776" max="776" width="25.375" style="256" customWidth="1"/>
    <col min="777" max="777" width="13.875" style="256" customWidth="1"/>
    <col min="778" max="778" width="9.125" style="256" hidden="1" customWidth="1"/>
    <col min="779" max="779" width="14.625" style="256" customWidth="1"/>
    <col min="780" max="782" width="9.125" style="256" customWidth="1"/>
    <col min="783" max="783" width="9.625" style="256" bestFit="1" customWidth="1"/>
    <col min="784" max="1024" width="9.125" style="256" customWidth="1"/>
    <col min="1025" max="1025" width="15.50390625" style="256" customWidth="1"/>
    <col min="1026" max="1026" width="45.375" style="256" customWidth="1"/>
    <col min="1027" max="1027" width="78.875" style="256" customWidth="1"/>
    <col min="1028" max="1028" width="28.875" style="256" customWidth="1"/>
    <col min="1029" max="1029" width="11.375" style="256" customWidth="1"/>
    <col min="1030" max="1030" width="23.875" style="256" customWidth="1"/>
    <col min="1031" max="1031" width="14.50390625" style="256" customWidth="1"/>
    <col min="1032" max="1032" width="25.375" style="256" customWidth="1"/>
    <col min="1033" max="1033" width="13.875" style="256" customWidth="1"/>
    <col min="1034" max="1034" width="9.125" style="256" hidden="1" customWidth="1"/>
    <col min="1035" max="1035" width="14.625" style="256" customWidth="1"/>
    <col min="1036" max="1038" width="9.125" style="256" customWidth="1"/>
    <col min="1039" max="1039" width="9.625" style="256" bestFit="1" customWidth="1"/>
    <col min="1040" max="1280" width="9.125" style="256" customWidth="1"/>
    <col min="1281" max="1281" width="15.50390625" style="256" customWidth="1"/>
    <col min="1282" max="1282" width="45.375" style="256" customWidth="1"/>
    <col min="1283" max="1283" width="78.875" style="256" customWidth="1"/>
    <col min="1284" max="1284" width="28.875" style="256" customWidth="1"/>
    <col min="1285" max="1285" width="11.375" style="256" customWidth="1"/>
    <col min="1286" max="1286" width="23.875" style="256" customWidth="1"/>
    <col min="1287" max="1287" width="14.50390625" style="256" customWidth="1"/>
    <col min="1288" max="1288" width="25.375" style="256" customWidth="1"/>
    <col min="1289" max="1289" width="13.875" style="256" customWidth="1"/>
    <col min="1290" max="1290" width="9.125" style="256" hidden="1" customWidth="1"/>
    <col min="1291" max="1291" width="14.625" style="256" customWidth="1"/>
    <col min="1292" max="1294" width="9.125" style="256" customWidth="1"/>
    <col min="1295" max="1295" width="9.625" style="256" bestFit="1" customWidth="1"/>
    <col min="1296" max="1536" width="9.125" style="256" customWidth="1"/>
    <col min="1537" max="1537" width="15.50390625" style="256" customWidth="1"/>
    <col min="1538" max="1538" width="45.375" style="256" customWidth="1"/>
    <col min="1539" max="1539" width="78.875" style="256" customWidth="1"/>
    <col min="1540" max="1540" width="28.875" style="256" customWidth="1"/>
    <col min="1541" max="1541" width="11.375" style="256" customWidth="1"/>
    <col min="1542" max="1542" width="23.875" style="256" customWidth="1"/>
    <col min="1543" max="1543" width="14.50390625" style="256" customWidth="1"/>
    <col min="1544" max="1544" width="25.375" style="256" customWidth="1"/>
    <col min="1545" max="1545" width="13.875" style="256" customWidth="1"/>
    <col min="1546" max="1546" width="9.125" style="256" hidden="1" customWidth="1"/>
    <col min="1547" max="1547" width="14.625" style="256" customWidth="1"/>
    <col min="1548" max="1550" width="9.125" style="256" customWidth="1"/>
    <col min="1551" max="1551" width="9.625" style="256" bestFit="1" customWidth="1"/>
    <col min="1552" max="1792" width="9.125" style="256" customWidth="1"/>
    <col min="1793" max="1793" width="15.50390625" style="256" customWidth="1"/>
    <col min="1794" max="1794" width="45.375" style="256" customWidth="1"/>
    <col min="1795" max="1795" width="78.875" style="256" customWidth="1"/>
    <col min="1796" max="1796" width="28.875" style="256" customWidth="1"/>
    <col min="1797" max="1797" width="11.375" style="256" customWidth="1"/>
    <col min="1798" max="1798" width="23.875" style="256" customWidth="1"/>
    <col min="1799" max="1799" width="14.50390625" style="256" customWidth="1"/>
    <col min="1800" max="1800" width="25.375" style="256" customWidth="1"/>
    <col min="1801" max="1801" width="13.875" style="256" customWidth="1"/>
    <col min="1802" max="1802" width="9.125" style="256" hidden="1" customWidth="1"/>
    <col min="1803" max="1803" width="14.625" style="256" customWidth="1"/>
    <col min="1804" max="1806" width="9.125" style="256" customWidth="1"/>
    <col min="1807" max="1807" width="9.625" style="256" bestFit="1" customWidth="1"/>
    <col min="1808" max="2048" width="9.125" style="256" customWidth="1"/>
    <col min="2049" max="2049" width="15.50390625" style="256" customWidth="1"/>
    <col min="2050" max="2050" width="45.375" style="256" customWidth="1"/>
    <col min="2051" max="2051" width="78.875" style="256" customWidth="1"/>
    <col min="2052" max="2052" width="28.875" style="256" customWidth="1"/>
    <col min="2053" max="2053" width="11.375" style="256" customWidth="1"/>
    <col min="2054" max="2054" width="23.875" style="256" customWidth="1"/>
    <col min="2055" max="2055" width="14.50390625" style="256" customWidth="1"/>
    <col min="2056" max="2056" width="25.375" style="256" customWidth="1"/>
    <col min="2057" max="2057" width="13.875" style="256" customWidth="1"/>
    <col min="2058" max="2058" width="9.125" style="256" hidden="1" customWidth="1"/>
    <col min="2059" max="2059" width="14.625" style="256" customWidth="1"/>
    <col min="2060" max="2062" width="9.125" style="256" customWidth="1"/>
    <col min="2063" max="2063" width="9.625" style="256" bestFit="1" customWidth="1"/>
    <col min="2064" max="2304" width="9.125" style="256" customWidth="1"/>
    <col min="2305" max="2305" width="15.50390625" style="256" customWidth="1"/>
    <col min="2306" max="2306" width="45.375" style="256" customWidth="1"/>
    <col min="2307" max="2307" width="78.875" style="256" customWidth="1"/>
    <col min="2308" max="2308" width="28.875" style="256" customWidth="1"/>
    <col min="2309" max="2309" width="11.375" style="256" customWidth="1"/>
    <col min="2310" max="2310" width="23.875" style="256" customWidth="1"/>
    <col min="2311" max="2311" width="14.50390625" style="256" customWidth="1"/>
    <col min="2312" max="2312" width="25.375" style="256" customWidth="1"/>
    <col min="2313" max="2313" width="13.875" style="256" customWidth="1"/>
    <col min="2314" max="2314" width="9.125" style="256" hidden="1" customWidth="1"/>
    <col min="2315" max="2315" width="14.625" style="256" customWidth="1"/>
    <col min="2316" max="2318" width="9.125" style="256" customWidth="1"/>
    <col min="2319" max="2319" width="9.625" style="256" bestFit="1" customWidth="1"/>
    <col min="2320" max="2560" width="9.125" style="256" customWidth="1"/>
    <col min="2561" max="2561" width="15.50390625" style="256" customWidth="1"/>
    <col min="2562" max="2562" width="45.375" style="256" customWidth="1"/>
    <col min="2563" max="2563" width="78.875" style="256" customWidth="1"/>
    <col min="2564" max="2564" width="28.875" style="256" customWidth="1"/>
    <col min="2565" max="2565" width="11.375" style="256" customWidth="1"/>
    <col min="2566" max="2566" width="23.875" style="256" customWidth="1"/>
    <col min="2567" max="2567" width="14.50390625" style="256" customWidth="1"/>
    <col min="2568" max="2568" width="25.375" style="256" customWidth="1"/>
    <col min="2569" max="2569" width="13.875" style="256" customWidth="1"/>
    <col min="2570" max="2570" width="9.125" style="256" hidden="1" customWidth="1"/>
    <col min="2571" max="2571" width="14.625" style="256" customWidth="1"/>
    <col min="2572" max="2574" width="9.125" style="256" customWidth="1"/>
    <col min="2575" max="2575" width="9.625" style="256" bestFit="1" customWidth="1"/>
    <col min="2576" max="2816" width="9.125" style="256" customWidth="1"/>
    <col min="2817" max="2817" width="15.50390625" style="256" customWidth="1"/>
    <col min="2818" max="2818" width="45.375" style="256" customWidth="1"/>
    <col min="2819" max="2819" width="78.875" style="256" customWidth="1"/>
    <col min="2820" max="2820" width="28.875" style="256" customWidth="1"/>
    <col min="2821" max="2821" width="11.375" style="256" customWidth="1"/>
    <col min="2822" max="2822" width="23.875" style="256" customWidth="1"/>
    <col min="2823" max="2823" width="14.50390625" style="256" customWidth="1"/>
    <col min="2824" max="2824" width="25.375" style="256" customWidth="1"/>
    <col min="2825" max="2825" width="13.875" style="256" customWidth="1"/>
    <col min="2826" max="2826" width="9.125" style="256" hidden="1" customWidth="1"/>
    <col min="2827" max="2827" width="14.625" style="256" customWidth="1"/>
    <col min="2828" max="2830" width="9.125" style="256" customWidth="1"/>
    <col min="2831" max="2831" width="9.625" style="256" bestFit="1" customWidth="1"/>
    <col min="2832" max="3072" width="9.125" style="256" customWidth="1"/>
    <col min="3073" max="3073" width="15.50390625" style="256" customWidth="1"/>
    <col min="3074" max="3074" width="45.375" style="256" customWidth="1"/>
    <col min="3075" max="3075" width="78.875" style="256" customWidth="1"/>
    <col min="3076" max="3076" width="28.875" style="256" customWidth="1"/>
    <col min="3077" max="3077" width="11.375" style="256" customWidth="1"/>
    <col min="3078" max="3078" width="23.875" style="256" customWidth="1"/>
    <col min="3079" max="3079" width="14.50390625" style="256" customWidth="1"/>
    <col min="3080" max="3080" width="25.375" style="256" customWidth="1"/>
    <col min="3081" max="3081" width="13.875" style="256" customWidth="1"/>
    <col min="3082" max="3082" width="9.125" style="256" hidden="1" customWidth="1"/>
    <col min="3083" max="3083" width="14.625" style="256" customWidth="1"/>
    <col min="3084" max="3086" width="9.125" style="256" customWidth="1"/>
    <col min="3087" max="3087" width="9.625" style="256" bestFit="1" customWidth="1"/>
    <col min="3088" max="3328" width="9.125" style="256" customWidth="1"/>
    <col min="3329" max="3329" width="15.50390625" style="256" customWidth="1"/>
    <col min="3330" max="3330" width="45.375" style="256" customWidth="1"/>
    <col min="3331" max="3331" width="78.875" style="256" customWidth="1"/>
    <col min="3332" max="3332" width="28.875" style="256" customWidth="1"/>
    <col min="3333" max="3333" width="11.375" style="256" customWidth="1"/>
    <col min="3334" max="3334" width="23.875" style="256" customWidth="1"/>
    <col min="3335" max="3335" width="14.50390625" style="256" customWidth="1"/>
    <col min="3336" max="3336" width="25.375" style="256" customWidth="1"/>
    <col min="3337" max="3337" width="13.875" style="256" customWidth="1"/>
    <col min="3338" max="3338" width="9.125" style="256" hidden="1" customWidth="1"/>
    <col min="3339" max="3339" width="14.625" style="256" customWidth="1"/>
    <col min="3340" max="3342" width="9.125" style="256" customWidth="1"/>
    <col min="3343" max="3343" width="9.625" style="256" bestFit="1" customWidth="1"/>
    <col min="3344" max="3584" width="9.125" style="256" customWidth="1"/>
    <col min="3585" max="3585" width="15.50390625" style="256" customWidth="1"/>
    <col min="3586" max="3586" width="45.375" style="256" customWidth="1"/>
    <col min="3587" max="3587" width="78.875" style="256" customWidth="1"/>
    <col min="3588" max="3588" width="28.875" style="256" customWidth="1"/>
    <col min="3589" max="3589" width="11.375" style="256" customWidth="1"/>
    <col min="3590" max="3590" width="23.875" style="256" customWidth="1"/>
    <col min="3591" max="3591" width="14.50390625" style="256" customWidth="1"/>
    <col min="3592" max="3592" width="25.375" style="256" customWidth="1"/>
    <col min="3593" max="3593" width="13.875" style="256" customWidth="1"/>
    <col min="3594" max="3594" width="9.125" style="256" hidden="1" customWidth="1"/>
    <col min="3595" max="3595" width="14.625" style="256" customWidth="1"/>
    <col min="3596" max="3598" width="9.125" style="256" customWidth="1"/>
    <col min="3599" max="3599" width="9.625" style="256" bestFit="1" customWidth="1"/>
    <col min="3600" max="3840" width="9.125" style="256" customWidth="1"/>
    <col min="3841" max="3841" width="15.50390625" style="256" customWidth="1"/>
    <col min="3842" max="3842" width="45.375" style="256" customWidth="1"/>
    <col min="3843" max="3843" width="78.875" style="256" customWidth="1"/>
    <col min="3844" max="3844" width="28.875" style="256" customWidth="1"/>
    <col min="3845" max="3845" width="11.375" style="256" customWidth="1"/>
    <col min="3846" max="3846" width="23.875" style="256" customWidth="1"/>
    <col min="3847" max="3847" width="14.50390625" style="256" customWidth="1"/>
    <col min="3848" max="3848" width="25.375" style="256" customWidth="1"/>
    <col min="3849" max="3849" width="13.875" style="256" customWidth="1"/>
    <col min="3850" max="3850" width="9.125" style="256" hidden="1" customWidth="1"/>
    <col min="3851" max="3851" width="14.625" style="256" customWidth="1"/>
    <col min="3852" max="3854" width="9.125" style="256" customWidth="1"/>
    <col min="3855" max="3855" width="9.625" style="256" bestFit="1" customWidth="1"/>
    <col min="3856" max="4096" width="9.125" style="256" customWidth="1"/>
    <col min="4097" max="4097" width="15.50390625" style="256" customWidth="1"/>
    <col min="4098" max="4098" width="45.375" style="256" customWidth="1"/>
    <col min="4099" max="4099" width="78.875" style="256" customWidth="1"/>
    <col min="4100" max="4100" width="28.875" style="256" customWidth="1"/>
    <col min="4101" max="4101" width="11.375" style="256" customWidth="1"/>
    <col min="4102" max="4102" width="23.875" style="256" customWidth="1"/>
    <col min="4103" max="4103" width="14.50390625" style="256" customWidth="1"/>
    <col min="4104" max="4104" width="25.375" style="256" customWidth="1"/>
    <col min="4105" max="4105" width="13.875" style="256" customWidth="1"/>
    <col min="4106" max="4106" width="9.125" style="256" hidden="1" customWidth="1"/>
    <col min="4107" max="4107" width="14.625" style="256" customWidth="1"/>
    <col min="4108" max="4110" width="9.125" style="256" customWidth="1"/>
    <col min="4111" max="4111" width="9.625" style="256" bestFit="1" customWidth="1"/>
    <col min="4112" max="4352" width="9.125" style="256" customWidth="1"/>
    <col min="4353" max="4353" width="15.50390625" style="256" customWidth="1"/>
    <col min="4354" max="4354" width="45.375" style="256" customWidth="1"/>
    <col min="4355" max="4355" width="78.875" style="256" customWidth="1"/>
    <col min="4356" max="4356" width="28.875" style="256" customWidth="1"/>
    <col min="4357" max="4357" width="11.375" style="256" customWidth="1"/>
    <col min="4358" max="4358" width="23.875" style="256" customWidth="1"/>
    <col min="4359" max="4359" width="14.50390625" style="256" customWidth="1"/>
    <col min="4360" max="4360" width="25.375" style="256" customWidth="1"/>
    <col min="4361" max="4361" width="13.875" style="256" customWidth="1"/>
    <col min="4362" max="4362" width="9.125" style="256" hidden="1" customWidth="1"/>
    <col min="4363" max="4363" width="14.625" style="256" customWidth="1"/>
    <col min="4364" max="4366" width="9.125" style="256" customWidth="1"/>
    <col min="4367" max="4367" width="9.625" style="256" bestFit="1" customWidth="1"/>
    <col min="4368" max="4608" width="9.125" style="256" customWidth="1"/>
    <col min="4609" max="4609" width="15.50390625" style="256" customWidth="1"/>
    <col min="4610" max="4610" width="45.375" style="256" customWidth="1"/>
    <col min="4611" max="4611" width="78.875" style="256" customWidth="1"/>
    <col min="4612" max="4612" width="28.875" style="256" customWidth="1"/>
    <col min="4613" max="4613" width="11.375" style="256" customWidth="1"/>
    <col min="4614" max="4614" width="23.875" style="256" customWidth="1"/>
    <col min="4615" max="4615" width="14.50390625" style="256" customWidth="1"/>
    <col min="4616" max="4616" width="25.375" style="256" customWidth="1"/>
    <col min="4617" max="4617" width="13.875" style="256" customWidth="1"/>
    <col min="4618" max="4618" width="9.125" style="256" hidden="1" customWidth="1"/>
    <col min="4619" max="4619" width="14.625" style="256" customWidth="1"/>
    <col min="4620" max="4622" width="9.125" style="256" customWidth="1"/>
    <col min="4623" max="4623" width="9.625" style="256" bestFit="1" customWidth="1"/>
    <col min="4624" max="4864" width="9.125" style="256" customWidth="1"/>
    <col min="4865" max="4865" width="15.50390625" style="256" customWidth="1"/>
    <col min="4866" max="4866" width="45.375" style="256" customWidth="1"/>
    <col min="4867" max="4867" width="78.875" style="256" customWidth="1"/>
    <col min="4868" max="4868" width="28.875" style="256" customWidth="1"/>
    <col min="4869" max="4869" width="11.375" style="256" customWidth="1"/>
    <col min="4870" max="4870" width="23.875" style="256" customWidth="1"/>
    <col min="4871" max="4871" width="14.50390625" style="256" customWidth="1"/>
    <col min="4872" max="4872" width="25.375" style="256" customWidth="1"/>
    <col min="4873" max="4873" width="13.875" style="256" customWidth="1"/>
    <col min="4874" max="4874" width="9.125" style="256" hidden="1" customWidth="1"/>
    <col min="4875" max="4875" width="14.625" style="256" customWidth="1"/>
    <col min="4876" max="4878" width="9.125" style="256" customWidth="1"/>
    <col min="4879" max="4879" width="9.625" style="256" bestFit="1" customWidth="1"/>
    <col min="4880" max="5120" width="9.125" style="256" customWidth="1"/>
    <col min="5121" max="5121" width="15.50390625" style="256" customWidth="1"/>
    <col min="5122" max="5122" width="45.375" style="256" customWidth="1"/>
    <col min="5123" max="5123" width="78.875" style="256" customWidth="1"/>
    <col min="5124" max="5124" width="28.875" style="256" customWidth="1"/>
    <col min="5125" max="5125" width="11.375" style="256" customWidth="1"/>
    <col min="5126" max="5126" width="23.875" style="256" customWidth="1"/>
    <col min="5127" max="5127" width="14.50390625" style="256" customWidth="1"/>
    <col min="5128" max="5128" width="25.375" style="256" customWidth="1"/>
    <col min="5129" max="5129" width="13.875" style="256" customWidth="1"/>
    <col min="5130" max="5130" width="9.125" style="256" hidden="1" customWidth="1"/>
    <col min="5131" max="5131" width="14.625" style="256" customWidth="1"/>
    <col min="5132" max="5134" width="9.125" style="256" customWidth="1"/>
    <col min="5135" max="5135" width="9.625" style="256" bestFit="1" customWidth="1"/>
    <col min="5136" max="5376" width="9.125" style="256" customWidth="1"/>
    <col min="5377" max="5377" width="15.50390625" style="256" customWidth="1"/>
    <col min="5378" max="5378" width="45.375" style="256" customWidth="1"/>
    <col min="5379" max="5379" width="78.875" style="256" customWidth="1"/>
    <col min="5380" max="5380" width="28.875" style="256" customWidth="1"/>
    <col min="5381" max="5381" width="11.375" style="256" customWidth="1"/>
    <col min="5382" max="5382" width="23.875" style="256" customWidth="1"/>
    <col min="5383" max="5383" width="14.50390625" style="256" customWidth="1"/>
    <col min="5384" max="5384" width="25.375" style="256" customWidth="1"/>
    <col min="5385" max="5385" width="13.875" style="256" customWidth="1"/>
    <col min="5386" max="5386" width="9.125" style="256" hidden="1" customWidth="1"/>
    <col min="5387" max="5387" width="14.625" style="256" customWidth="1"/>
    <col min="5388" max="5390" width="9.125" style="256" customWidth="1"/>
    <col min="5391" max="5391" width="9.625" style="256" bestFit="1" customWidth="1"/>
    <col min="5392" max="5632" width="9.125" style="256" customWidth="1"/>
    <col min="5633" max="5633" width="15.50390625" style="256" customWidth="1"/>
    <col min="5634" max="5634" width="45.375" style="256" customWidth="1"/>
    <col min="5635" max="5635" width="78.875" style="256" customWidth="1"/>
    <col min="5636" max="5636" width="28.875" style="256" customWidth="1"/>
    <col min="5637" max="5637" width="11.375" style="256" customWidth="1"/>
    <col min="5638" max="5638" width="23.875" style="256" customWidth="1"/>
    <col min="5639" max="5639" width="14.50390625" style="256" customWidth="1"/>
    <col min="5640" max="5640" width="25.375" style="256" customWidth="1"/>
    <col min="5641" max="5641" width="13.875" style="256" customWidth="1"/>
    <col min="5642" max="5642" width="9.125" style="256" hidden="1" customWidth="1"/>
    <col min="5643" max="5643" width="14.625" style="256" customWidth="1"/>
    <col min="5644" max="5646" width="9.125" style="256" customWidth="1"/>
    <col min="5647" max="5647" width="9.625" style="256" bestFit="1" customWidth="1"/>
    <col min="5648" max="5888" width="9.125" style="256" customWidth="1"/>
    <col min="5889" max="5889" width="15.50390625" style="256" customWidth="1"/>
    <col min="5890" max="5890" width="45.375" style="256" customWidth="1"/>
    <col min="5891" max="5891" width="78.875" style="256" customWidth="1"/>
    <col min="5892" max="5892" width="28.875" style="256" customWidth="1"/>
    <col min="5893" max="5893" width="11.375" style="256" customWidth="1"/>
    <col min="5894" max="5894" width="23.875" style="256" customWidth="1"/>
    <col min="5895" max="5895" width="14.50390625" style="256" customWidth="1"/>
    <col min="5896" max="5896" width="25.375" style="256" customWidth="1"/>
    <col min="5897" max="5897" width="13.875" style="256" customWidth="1"/>
    <col min="5898" max="5898" width="9.125" style="256" hidden="1" customWidth="1"/>
    <col min="5899" max="5899" width="14.625" style="256" customWidth="1"/>
    <col min="5900" max="5902" width="9.125" style="256" customWidth="1"/>
    <col min="5903" max="5903" width="9.625" style="256" bestFit="1" customWidth="1"/>
    <col min="5904" max="6144" width="9.125" style="256" customWidth="1"/>
    <col min="6145" max="6145" width="15.50390625" style="256" customWidth="1"/>
    <col min="6146" max="6146" width="45.375" style="256" customWidth="1"/>
    <col min="6147" max="6147" width="78.875" style="256" customWidth="1"/>
    <col min="6148" max="6148" width="28.875" style="256" customWidth="1"/>
    <col min="6149" max="6149" width="11.375" style="256" customWidth="1"/>
    <col min="6150" max="6150" width="23.875" style="256" customWidth="1"/>
    <col min="6151" max="6151" width="14.50390625" style="256" customWidth="1"/>
    <col min="6152" max="6152" width="25.375" style="256" customWidth="1"/>
    <col min="6153" max="6153" width="13.875" style="256" customWidth="1"/>
    <col min="6154" max="6154" width="9.125" style="256" hidden="1" customWidth="1"/>
    <col min="6155" max="6155" width="14.625" style="256" customWidth="1"/>
    <col min="6156" max="6158" width="9.125" style="256" customWidth="1"/>
    <col min="6159" max="6159" width="9.625" style="256" bestFit="1" customWidth="1"/>
    <col min="6160" max="6400" width="9.125" style="256" customWidth="1"/>
    <col min="6401" max="6401" width="15.50390625" style="256" customWidth="1"/>
    <col min="6402" max="6402" width="45.375" style="256" customWidth="1"/>
    <col min="6403" max="6403" width="78.875" style="256" customWidth="1"/>
    <col min="6404" max="6404" width="28.875" style="256" customWidth="1"/>
    <col min="6405" max="6405" width="11.375" style="256" customWidth="1"/>
    <col min="6406" max="6406" width="23.875" style="256" customWidth="1"/>
    <col min="6407" max="6407" width="14.50390625" style="256" customWidth="1"/>
    <col min="6408" max="6408" width="25.375" style="256" customWidth="1"/>
    <col min="6409" max="6409" width="13.875" style="256" customWidth="1"/>
    <col min="6410" max="6410" width="9.125" style="256" hidden="1" customWidth="1"/>
    <col min="6411" max="6411" width="14.625" style="256" customWidth="1"/>
    <col min="6412" max="6414" width="9.125" style="256" customWidth="1"/>
    <col min="6415" max="6415" width="9.625" style="256" bestFit="1" customWidth="1"/>
    <col min="6416" max="6656" width="9.125" style="256" customWidth="1"/>
    <col min="6657" max="6657" width="15.50390625" style="256" customWidth="1"/>
    <col min="6658" max="6658" width="45.375" style="256" customWidth="1"/>
    <col min="6659" max="6659" width="78.875" style="256" customWidth="1"/>
    <col min="6660" max="6660" width="28.875" style="256" customWidth="1"/>
    <col min="6661" max="6661" width="11.375" style="256" customWidth="1"/>
    <col min="6662" max="6662" width="23.875" style="256" customWidth="1"/>
    <col min="6663" max="6663" width="14.50390625" style="256" customWidth="1"/>
    <col min="6664" max="6664" width="25.375" style="256" customWidth="1"/>
    <col min="6665" max="6665" width="13.875" style="256" customWidth="1"/>
    <col min="6666" max="6666" width="9.125" style="256" hidden="1" customWidth="1"/>
    <col min="6667" max="6667" width="14.625" style="256" customWidth="1"/>
    <col min="6668" max="6670" width="9.125" style="256" customWidth="1"/>
    <col min="6671" max="6671" width="9.625" style="256" bestFit="1" customWidth="1"/>
    <col min="6672" max="6912" width="9.125" style="256" customWidth="1"/>
    <col min="6913" max="6913" width="15.50390625" style="256" customWidth="1"/>
    <col min="6914" max="6914" width="45.375" style="256" customWidth="1"/>
    <col min="6915" max="6915" width="78.875" style="256" customWidth="1"/>
    <col min="6916" max="6916" width="28.875" style="256" customWidth="1"/>
    <col min="6917" max="6917" width="11.375" style="256" customWidth="1"/>
    <col min="6918" max="6918" width="23.875" style="256" customWidth="1"/>
    <col min="6919" max="6919" width="14.50390625" style="256" customWidth="1"/>
    <col min="6920" max="6920" width="25.375" style="256" customWidth="1"/>
    <col min="6921" max="6921" width="13.875" style="256" customWidth="1"/>
    <col min="6922" max="6922" width="9.125" style="256" hidden="1" customWidth="1"/>
    <col min="6923" max="6923" width="14.625" style="256" customWidth="1"/>
    <col min="6924" max="6926" width="9.125" style="256" customWidth="1"/>
    <col min="6927" max="6927" width="9.625" style="256" bestFit="1" customWidth="1"/>
    <col min="6928" max="7168" width="9.125" style="256" customWidth="1"/>
    <col min="7169" max="7169" width="15.50390625" style="256" customWidth="1"/>
    <col min="7170" max="7170" width="45.375" style="256" customWidth="1"/>
    <col min="7171" max="7171" width="78.875" style="256" customWidth="1"/>
    <col min="7172" max="7172" width="28.875" style="256" customWidth="1"/>
    <col min="7173" max="7173" width="11.375" style="256" customWidth="1"/>
    <col min="7174" max="7174" width="23.875" style="256" customWidth="1"/>
    <col min="7175" max="7175" width="14.50390625" style="256" customWidth="1"/>
    <col min="7176" max="7176" width="25.375" style="256" customWidth="1"/>
    <col min="7177" max="7177" width="13.875" style="256" customWidth="1"/>
    <col min="7178" max="7178" width="9.125" style="256" hidden="1" customWidth="1"/>
    <col min="7179" max="7179" width="14.625" style="256" customWidth="1"/>
    <col min="7180" max="7182" width="9.125" style="256" customWidth="1"/>
    <col min="7183" max="7183" width="9.625" style="256" bestFit="1" customWidth="1"/>
    <col min="7184" max="7424" width="9.125" style="256" customWidth="1"/>
    <col min="7425" max="7425" width="15.50390625" style="256" customWidth="1"/>
    <col min="7426" max="7426" width="45.375" style="256" customWidth="1"/>
    <col min="7427" max="7427" width="78.875" style="256" customWidth="1"/>
    <col min="7428" max="7428" width="28.875" style="256" customWidth="1"/>
    <col min="7429" max="7429" width="11.375" style="256" customWidth="1"/>
    <col min="7430" max="7430" width="23.875" style="256" customWidth="1"/>
    <col min="7431" max="7431" width="14.50390625" style="256" customWidth="1"/>
    <col min="7432" max="7432" width="25.375" style="256" customWidth="1"/>
    <col min="7433" max="7433" width="13.875" style="256" customWidth="1"/>
    <col min="7434" max="7434" width="9.125" style="256" hidden="1" customWidth="1"/>
    <col min="7435" max="7435" width="14.625" style="256" customWidth="1"/>
    <col min="7436" max="7438" width="9.125" style="256" customWidth="1"/>
    <col min="7439" max="7439" width="9.625" style="256" bestFit="1" customWidth="1"/>
    <col min="7440" max="7680" width="9.125" style="256" customWidth="1"/>
    <col min="7681" max="7681" width="15.50390625" style="256" customWidth="1"/>
    <col min="7682" max="7682" width="45.375" style="256" customWidth="1"/>
    <col min="7683" max="7683" width="78.875" style="256" customWidth="1"/>
    <col min="7684" max="7684" width="28.875" style="256" customWidth="1"/>
    <col min="7685" max="7685" width="11.375" style="256" customWidth="1"/>
    <col min="7686" max="7686" width="23.875" style="256" customWidth="1"/>
    <col min="7687" max="7687" width="14.50390625" style="256" customWidth="1"/>
    <col min="7688" max="7688" width="25.375" style="256" customWidth="1"/>
    <col min="7689" max="7689" width="13.875" style="256" customWidth="1"/>
    <col min="7690" max="7690" width="9.125" style="256" hidden="1" customWidth="1"/>
    <col min="7691" max="7691" width="14.625" style="256" customWidth="1"/>
    <col min="7692" max="7694" width="9.125" style="256" customWidth="1"/>
    <col min="7695" max="7695" width="9.625" style="256" bestFit="1" customWidth="1"/>
    <col min="7696" max="7936" width="9.125" style="256" customWidth="1"/>
    <col min="7937" max="7937" width="15.50390625" style="256" customWidth="1"/>
    <col min="7938" max="7938" width="45.375" style="256" customWidth="1"/>
    <col min="7939" max="7939" width="78.875" style="256" customWidth="1"/>
    <col min="7940" max="7940" width="28.875" style="256" customWidth="1"/>
    <col min="7941" max="7941" width="11.375" style="256" customWidth="1"/>
    <col min="7942" max="7942" width="23.875" style="256" customWidth="1"/>
    <col min="7943" max="7943" width="14.50390625" style="256" customWidth="1"/>
    <col min="7944" max="7944" width="25.375" style="256" customWidth="1"/>
    <col min="7945" max="7945" width="13.875" style="256" customWidth="1"/>
    <col min="7946" max="7946" width="9.125" style="256" hidden="1" customWidth="1"/>
    <col min="7947" max="7947" width="14.625" style="256" customWidth="1"/>
    <col min="7948" max="7950" width="9.125" style="256" customWidth="1"/>
    <col min="7951" max="7951" width="9.625" style="256" bestFit="1" customWidth="1"/>
    <col min="7952" max="8192" width="9.125" style="256" customWidth="1"/>
    <col min="8193" max="8193" width="15.50390625" style="256" customWidth="1"/>
    <col min="8194" max="8194" width="45.375" style="256" customWidth="1"/>
    <col min="8195" max="8195" width="78.875" style="256" customWidth="1"/>
    <col min="8196" max="8196" width="28.875" style="256" customWidth="1"/>
    <col min="8197" max="8197" width="11.375" style="256" customWidth="1"/>
    <col min="8198" max="8198" width="23.875" style="256" customWidth="1"/>
    <col min="8199" max="8199" width="14.50390625" style="256" customWidth="1"/>
    <col min="8200" max="8200" width="25.375" style="256" customWidth="1"/>
    <col min="8201" max="8201" width="13.875" style="256" customWidth="1"/>
    <col min="8202" max="8202" width="9.125" style="256" hidden="1" customWidth="1"/>
    <col min="8203" max="8203" width="14.625" style="256" customWidth="1"/>
    <col min="8204" max="8206" width="9.125" style="256" customWidth="1"/>
    <col min="8207" max="8207" width="9.625" style="256" bestFit="1" customWidth="1"/>
    <col min="8208" max="8448" width="9.125" style="256" customWidth="1"/>
    <col min="8449" max="8449" width="15.50390625" style="256" customWidth="1"/>
    <col min="8450" max="8450" width="45.375" style="256" customWidth="1"/>
    <col min="8451" max="8451" width="78.875" style="256" customWidth="1"/>
    <col min="8452" max="8452" width="28.875" style="256" customWidth="1"/>
    <col min="8453" max="8453" width="11.375" style="256" customWidth="1"/>
    <col min="8454" max="8454" width="23.875" style="256" customWidth="1"/>
    <col min="8455" max="8455" width="14.50390625" style="256" customWidth="1"/>
    <col min="8456" max="8456" width="25.375" style="256" customWidth="1"/>
    <col min="8457" max="8457" width="13.875" style="256" customWidth="1"/>
    <col min="8458" max="8458" width="9.125" style="256" hidden="1" customWidth="1"/>
    <col min="8459" max="8459" width="14.625" style="256" customWidth="1"/>
    <col min="8460" max="8462" width="9.125" style="256" customWidth="1"/>
    <col min="8463" max="8463" width="9.625" style="256" bestFit="1" customWidth="1"/>
    <col min="8464" max="8704" width="9.125" style="256" customWidth="1"/>
    <col min="8705" max="8705" width="15.50390625" style="256" customWidth="1"/>
    <col min="8706" max="8706" width="45.375" style="256" customWidth="1"/>
    <col min="8707" max="8707" width="78.875" style="256" customWidth="1"/>
    <col min="8708" max="8708" width="28.875" style="256" customWidth="1"/>
    <col min="8709" max="8709" width="11.375" style="256" customWidth="1"/>
    <col min="8710" max="8710" width="23.875" style="256" customWidth="1"/>
    <col min="8711" max="8711" width="14.50390625" style="256" customWidth="1"/>
    <col min="8712" max="8712" width="25.375" style="256" customWidth="1"/>
    <col min="8713" max="8713" width="13.875" style="256" customWidth="1"/>
    <col min="8714" max="8714" width="9.125" style="256" hidden="1" customWidth="1"/>
    <col min="8715" max="8715" width="14.625" style="256" customWidth="1"/>
    <col min="8716" max="8718" width="9.125" style="256" customWidth="1"/>
    <col min="8719" max="8719" width="9.625" style="256" bestFit="1" customWidth="1"/>
    <col min="8720" max="8960" width="9.125" style="256" customWidth="1"/>
    <col min="8961" max="8961" width="15.50390625" style="256" customWidth="1"/>
    <col min="8962" max="8962" width="45.375" style="256" customWidth="1"/>
    <col min="8963" max="8963" width="78.875" style="256" customWidth="1"/>
    <col min="8964" max="8964" width="28.875" style="256" customWidth="1"/>
    <col min="8965" max="8965" width="11.375" style="256" customWidth="1"/>
    <col min="8966" max="8966" width="23.875" style="256" customWidth="1"/>
    <col min="8967" max="8967" width="14.50390625" style="256" customWidth="1"/>
    <col min="8968" max="8968" width="25.375" style="256" customWidth="1"/>
    <col min="8969" max="8969" width="13.875" style="256" customWidth="1"/>
    <col min="8970" max="8970" width="9.125" style="256" hidden="1" customWidth="1"/>
    <col min="8971" max="8971" width="14.625" style="256" customWidth="1"/>
    <col min="8972" max="8974" width="9.125" style="256" customWidth="1"/>
    <col min="8975" max="8975" width="9.625" style="256" bestFit="1" customWidth="1"/>
    <col min="8976" max="9216" width="9.125" style="256" customWidth="1"/>
    <col min="9217" max="9217" width="15.50390625" style="256" customWidth="1"/>
    <col min="9218" max="9218" width="45.375" style="256" customWidth="1"/>
    <col min="9219" max="9219" width="78.875" style="256" customWidth="1"/>
    <col min="9220" max="9220" width="28.875" style="256" customWidth="1"/>
    <col min="9221" max="9221" width="11.375" style="256" customWidth="1"/>
    <col min="9222" max="9222" width="23.875" style="256" customWidth="1"/>
    <col min="9223" max="9223" width="14.50390625" style="256" customWidth="1"/>
    <col min="9224" max="9224" width="25.375" style="256" customWidth="1"/>
    <col min="9225" max="9225" width="13.875" style="256" customWidth="1"/>
    <col min="9226" max="9226" width="9.125" style="256" hidden="1" customWidth="1"/>
    <col min="9227" max="9227" width="14.625" style="256" customWidth="1"/>
    <col min="9228" max="9230" width="9.125" style="256" customWidth="1"/>
    <col min="9231" max="9231" width="9.625" style="256" bestFit="1" customWidth="1"/>
    <col min="9232" max="9472" width="9.125" style="256" customWidth="1"/>
    <col min="9473" max="9473" width="15.50390625" style="256" customWidth="1"/>
    <col min="9474" max="9474" width="45.375" style="256" customWidth="1"/>
    <col min="9475" max="9475" width="78.875" style="256" customWidth="1"/>
    <col min="9476" max="9476" width="28.875" style="256" customWidth="1"/>
    <col min="9477" max="9477" width="11.375" style="256" customWidth="1"/>
    <col min="9478" max="9478" width="23.875" style="256" customWidth="1"/>
    <col min="9479" max="9479" width="14.50390625" style="256" customWidth="1"/>
    <col min="9480" max="9480" width="25.375" style="256" customWidth="1"/>
    <col min="9481" max="9481" width="13.875" style="256" customWidth="1"/>
    <col min="9482" max="9482" width="9.125" style="256" hidden="1" customWidth="1"/>
    <col min="9483" max="9483" width="14.625" style="256" customWidth="1"/>
    <col min="9484" max="9486" width="9.125" style="256" customWidth="1"/>
    <col min="9487" max="9487" width="9.625" style="256" bestFit="1" customWidth="1"/>
    <col min="9488" max="9728" width="9.125" style="256" customWidth="1"/>
    <col min="9729" max="9729" width="15.50390625" style="256" customWidth="1"/>
    <col min="9730" max="9730" width="45.375" style="256" customWidth="1"/>
    <col min="9731" max="9731" width="78.875" style="256" customWidth="1"/>
    <col min="9732" max="9732" width="28.875" style="256" customWidth="1"/>
    <col min="9733" max="9733" width="11.375" style="256" customWidth="1"/>
    <col min="9734" max="9734" width="23.875" style="256" customWidth="1"/>
    <col min="9735" max="9735" width="14.50390625" style="256" customWidth="1"/>
    <col min="9736" max="9736" width="25.375" style="256" customWidth="1"/>
    <col min="9737" max="9737" width="13.875" style="256" customWidth="1"/>
    <col min="9738" max="9738" width="9.125" style="256" hidden="1" customWidth="1"/>
    <col min="9739" max="9739" width="14.625" style="256" customWidth="1"/>
    <col min="9740" max="9742" width="9.125" style="256" customWidth="1"/>
    <col min="9743" max="9743" width="9.625" style="256" bestFit="1" customWidth="1"/>
    <col min="9744" max="9984" width="9.125" style="256" customWidth="1"/>
    <col min="9985" max="9985" width="15.50390625" style="256" customWidth="1"/>
    <col min="9986" max="9986" width="45.375" style="256" customWidth="1"/>
    <col min="9987" max="9987" width="78.875" style="256" customWidth="1"/>
    <col min="9988" max="9988" width="28.875" style="256" customWidth="1"/>
    <col min="9989" max="9989" width="11.375" style="256" customWidth="1"/>
    <col min="9990" max="9990" width="23.875" style="256" customWidth="1"/>
    <col min="9991" max="9991" width="14.50390625" style="256" customWidth="1"/>
    <col min="9992" max="9992" width="25.375" style="256" customWidth="1"/>
    <col min="9993" max="9993" width="13.875" style="256" customWidth="1"/>
    <col min="9994" max="9994" width="9.125" style="256" hidden="1" customWidth="1"/>
    <col min="9995" max="9995" width="14.625" style="256" customWidth="1"/>
    <col min="9996" max="9998" width="9.125" style="256" customWidth="1"/>
    <col min="9999" max="9999" width="9.625" style="256" bestFit="1" customWidth="1"/>
    <col min="10000" max="10240" width="9.125" style="256" customWidth="1"/>
    <col min="10241" max="10241" width="15.50390625" style="256" customWidth="1"/>
    <col min="10242" max="10242" width="45.375" style="256" customWidth="1"/>
    <col min="10243" max="10243" width="78.875" style="256" customWidth="1"/>
    <col min="10244" max="10244" width="28.875" style="256" customWidth="1"/>
    <col min="10245" max="10245" width="11.375" style="256" customWidth="1"/>
    <col min="10246" max="10246" width="23.875" style="256" customWidth="1"/>
    <col min="10247" max="10247" width="14.50390625" style="256" customWidth="1"/>
    <col min="10248" max="10248" width="25.375" style="256" customWidth="1"/>
    <col min="10249" max="10249" width="13.875" style="256" customWidth="1"/>
    <col min="10250" max="10250" width="9.125" style="256" hidden="1" customWidth="1"/>
    <col min="10251" max="10251" width="14.625" style="256" customWidth="1"/>
    <col min="10252" max="10254" width="9.125" style="256" customWidth="1"/>
    <col min="10255" max="10255" width="9.625" style="256" bestFit="1" customWidth="1"/>
    <col min="10256" max="10496" width="9.125" style="256" customWidth="1"/>
    <col min="10497" max="10497" width="15.50390625" style="256" customWidth="1"/>
    <col min="10498" max="10498" width="45.375" style="256" customWidth="1"/>
    <col min="10499" max="10499" width="78.875" style="256" customWidth="1"/>
    <col min="10500" max="10500" width="28.875" style="256" customWidth="1"/>
    <col min="10501" max="10501" width="11.375" style="256" customWidth="1"/>
    <col min="10502" max="10502" width="23.875" style="256" customWidth="1"/>
    <col min="10503" max="10503" width="14.50390625" style="256" customWidth="1"/>
    <col min="10504" max="10504" width="25.375" style="256" customWidth="1"/>
    <col min="10505" max="10505" width="13.875" style="256" customWidth="1"/>
    <col min="10506" max="10506" width="9.125" style="256" hidden="1" customWidth="1"/>
    <col min="10507" max="10507" width="14.625" style="256" customWidth="1"/>
    <col min="10508" max="10510" width="9.125" style="256" customWidth="1"/>
    <col min="10511" max="10511" width="9.625" style="256" bestFit="1" customWidth="1"/>
    <col min="10512" max="10752" width="9.125" style="256" customWidth="1"/>
    <col min="10753" max="10753" width="15.50390625" style="256" customWidth="1"/>
    <col min="10754" max="10754" width="45.375" style="256" customWidth="1"/>
    <col min="10755" max="10755" width="78.875" style="256" customWidth="1"/>
    <col min="10756" max="10756" width="28.875" style="256" customWidth="1"/>
    <col min="10757" max="10757" width="11.375" style="256" customWidth="1"/>
    <col min="10758" max="10758" width="23.875" style="256" customWidth="1"/>
    <col min="10759" max="10759" width="14.50390625" style="256" customWidth="1"/>
    <col min="10760" max="10760" width="25.375" style="256" customWidth="1"/>
    <col min="10761" max="10761" width="13.875" style="256" customWidth="1"/>
    <col min="10762" max="10762" width="9.125" style="256" hidden="1" customWidth="1"/>
    <col min="10763" max="10763" width="14.625" style="256" customWidth="1"/>
    <col min="10764" max="10766" width="9.125" style="256" customWidth="1"/>
    <col min="10767" max="10767" width="9.625" style="256" bestFit="1" customWidth="1"/>
    <col min="10768" max="11008" width="9.125" style="256" customWidth="1"/>
    <col min="11009" max="11009" width="15.50390625" style="256" customWidth="1"/>
    <col min="11010" max="11010" width="45.375" style="256" customWidth="1"/>
    <col min="11011" max="11011" width="78.875" style="256" customWidth="1"/>
    <col min="11012" max="11012" width="28.875" style="256" customWidth="1"/>
    <col min="11013" max="11013" width="11.375" style="256" customWidth="1"/>
    <col min="11014" max="11014" width="23.875" style="256" customWidth="1"/>
    <col min="11015" max="11015" width="14.50390625" style="256" customWidth="1"/>
    <col min="11016" max="11016" width="25.375" style="256" customWidth="1"/>
    <col min="11017" max="11017" width="13.875" style="256" customWidth="1"/>
    <col min="11018" max="11018" width="9.125" style="256" hidden="1" customWidth="1"/>
    <col min="11019" max="11019" width="14.625" style="256" customWidth="1"/>
    <col min="11020" max="11022" width="9.125" style="256" customWidth="1"/>
    <col min="11023" max="11023" width="9.625" style="256" bestFit="1" customWidth="1"/>
    <col min="11024" max="11264" width="9.125" style="256" customWidth="1"/>
    <col min="11265" max="11265" width="15.50390625" style="256" customWidth="1"/>
    <col min="11266" max="11266" width="45.375" style="256" customWidth="1"/>
    <col min="11267" max="11267" width="78.875" style="256" customWidth="1"/>
    <col min="11268" max="11268" width="28.875" style="256" customWidth="1"/>
    <col min="11269" max="11269" width="11.375" style="256" customWidth="1"/>
    <col min="11270" max="11270" width="23.875" style="256" customWidth="1"/>
    <col min="11271" max="11271" width="14.50390625" style="256" customWidth="1"/>
    <col min="11272" max="11272" width="25.375" style="256" customWidth="1"/>
    <col min="11273" max="11273" width="13.875" style="256" customWidth="1"/>
    <col min="11274" max="11274" width="9.125" style="256" hidden="1" customWidth="1"/>
    <col min="11275" max="11275" width="14.625" style="256" customWidth="1"/>
    <col min="11276" max="11278" width="9.125" style="256" customWidth="1"/>
    <col min="11279" max="11279" width="9.625" style="256" bestFit="1" customWidth="1"/>
    <col min="11280" max="11520" width="9.125" style="256" customWidth="1"/>
    <col min="11521" max="11521" width="15.50390625" style="256" customWidth="1"/>
    <col min="11522" max="11522" width="45.375" style="256" customWidth="1"/>
    <col min="11523" max="11523" width="78.875" style="256" customWidth="1"/>
    <col min="11524" max="11524" width="28.875" style="256" customWidth="1"/>
    <col min="11525" max="11525" width="11.375" style="256" customWidth="1"/>
    <col min="11526" max="11526" width="23.875" style="256" customWidth="1"/>
    <col min="11527" max="11527" width="14.50390625" style="256" customWidth="1"/>
    <col min="11528" max="11528" width="25.375" style="256" customWidth="1"/>
    <col min="11529" max="11529" width="13.875" style="256" customWidth="1"/>
    <col min="11530" max="11530" width="9.125" style="256" hidden="1" customWidth="1"/>
    <col min="11531" max="11531" width="14.625" style="256" customWidth="1"/>
    <col min="11532" max="11534" width="9.125" style="256" customWidth="1"/>
    <col min="11535" max="11535" width="9.625" style="256" bestFit="1" customWidth="1"/>
    <col min="11536" max="11776" width="9.125" style="256" customWidth="1"/>
    <col min="11777" max="11777" width="15.50390625" style="256" customWidth="1"/>
    <col min="11778" max="11778" width="45.375" style="256" customWidth="1"/>
    <col min="11779" max="11779" width="78.875" style="256" customWidth="1"/>
    <col min="11780" max="11780" width="28.875" style="256" customWidth="1"/>
    <col min="11781" max="11781" width="11.375" style="256" customWidth="1"/>
    <col min="11782" max="11782" width="23.875" style="256" customWidth="1"/>
    <col min="11783" max="11783" width="14.50390625" style="256" customWidth="1"/>
    <col min="11784" max="11784" width="25.375" style="256" customWidth="1"/>
    <col min="11785" max="11785" width="13.875" style="256" customWidth="1"/>
    <col min="11786" max="11786" width="9.125" style="256" hidden="1" customWidth="1"/>
    <col min="11787" max="11787" width="14.625" style="256" customWidth="1"/>
    <col min="11788" max="11790" width="9.125" style="256" customWidth="1"/>
    <col min="11791" max="11791" width="9.625" style="256" bestFit="1" customWidth="1"/>
    <col min="11792" max="12032" width="9.125" style="256" customWidth="1"/>
    <col min="12033" max="12033" width="15.50390625" style="256" customWidth="1"/>
    <col min="12034" max="12034" width="45.375" style="256" customWidth="1"/>
    <col min="12035" max="12035" width="78.875" style="256" customWidth="1"/>
    <col min="12036" max="12036" width="28.875" style="256" customWidth="1"/>
    <col min="12037" max="12037" width="11.375" style="256" customWidth="1"/>
    <col min="12038" max="12038" width="23.875" style="256" customWidth="1"/>
    <col min="12039" max="12039" width="14.50390625" style="256" customWidth="1"/>
    <col min="12040" max="12040" width="25.375" style="256" customWidth="1"/>
    <col min="12041" max="12041" width="13.875" style="256" customWidth="1"/>
    <col min="12042" max="12042" width="9.125" style="256" hidden="1" customWidth="1"/>
    <col min="12043" max="12043" width="14.625" style="256" customWidth="1"/>
    <col min="12044" max="12046" width="9.125" style="256" customWidth="1"/>
    <col min="12047" max="12047" width="9.625" style="256" bestFit="1" customWidth="1"/>
    <col min="12048" max="12288" width="9.125" style="256" customWidth="1"/>
    <col min="12289" max="12289" width="15.50390625" style="256" customWidth="1"/>
    <col min="12290" max="12290" width="45.375" style="256" customWidth="1"/>
    <col min="12291" max="12291" width="78.875" style="256" customWidth="1"/>
    <col min="12292" max="12292" width="28.875" style="256" customWidth="1"/>
    <col min="12293" max="12293" width="11.375" style="256" customWidth="1"/>
    <col min="12294" max="12294" width="23.875" style="256" customWidth="1"/>
    <col min="12295" max="12295" width="14.50390625" style="256" customWidth="1"/>
    <col min="12296" max="12296" width="25.375" style="256" customWidth="1"/>
    <col min="12297" max="12297" width="13.875" style="256" customWidth="1"/>
    <col min="12298" max="12298" width="9.125" style="256" hidden="1" customWidth="1"/>
    <col min="12299" max="12299" width="14.625" style="256" customWidth="1"/>
    <col min="12300" max="12302" width="9.125" style="256" customWidth="1"/>
    <col min="12303" max="12303" width="9.625" style="256" bestFit="1" customWidth="1"/>
    <col min="12304" max="12544" width="9.125" style="256" customWidth="1"/>
    <col min="12545" max="12545" width="15.50390625" style="256" customWidth="1"/>
    <col min="12546" max="12546" width="45.375" style="256" customWidth="1"/>
    <col min="12547" max="12547" width="78.875" style="256" customWidth="1"/>
    <col min="12548" max="12548" width="28.875" style="256" customWidth="1"/>
    <col min="12549" max="12549" width="11.375" style="256" customWidth="1"/>
    <col min="12550" max="12550" width="23.875" style="256" customWidth="1"/>
    <col min="12551" max="12551" width="14.50390625" style="256" customWidth="1"/>
    <col min="12552" max="12552" width="25.375" style="256" customWidth="1"/>
    <col min="12553" max="12553" width="13.875" style="256" customWidth="1"/>
    <col min="12554" max="12554" width="9.125" style="256" hidden="1" customWidth="1"/>
    <col min="12555" max="12555" width="14.625" style="256" customWidth="1"/>
    <col min="12556" max="12558" width="9.125" style="256" customWidth="1"/>
    <col min="12559" max="12559" width="9.625" style="256" bestFit="1" customWidth="1"/>
    <col min="12560" max="12800" width="9.125" style="256" customWidth="1"/>
    <col min="12801" max="12801" width="15.50390625" style="256" customWidth="1"/>
    <col min="12802" max="12802" width="45.375" style="256" customWidth="1"/>
    <col min="12803" max="12803" width="78.875" style="256" customWidth="1"/>
    <col min="12804" max="12804" width="28.875" style="256" customWidth="1"/>
    <col min="12805" max="12805" width="11.375" style="256" customWidth="1"/>
    <col min="12806" max="12806" width="23.875" style="256" customWidth="1"/>
    <col min="12807" max="12807" width="14.50390625" style="256" customWidth="1"/>
    <col min="12808" max="12808" width="25.375" style="256" customWidth="1"/>
    <col min="12809" max="12809" width="13.875" style="256" customWidth="1"/>
    <col min="12810" max="12810" width="9.125" style="256" hidden="1" customWidth="1"/>
    <col min="12811" max="12811" width="14.625" style="256" customWidth="1"/>
    <col min="12812" max="12814" width="9.125" style="256" customWidth="1"/>
    <col min="12815" max="12815" width="9.625" style="256" bestFit="1" customWidth="1"/>
    <col min="12816" max="13056" width="9.125" style="256" customWidth="1"/>
    <col min="13057" max="13057" width="15.50390625" style="256" customWidth="1"/>
    <col min="13058" max="13058" width="45.375" style="256" customWidth="1"/>
    <col min="13059" max="13059" width="78.875" style="256" customWidth="1"/>
    <col min="13060" max="13060" width="28.875" style="256" customWidth="1"/>
    <col min="13061" max="13061" width="11.375" style="256" customWidth="1"/>
    <col min="13062" max="13062" width="23.875" style="256" customWidth="1"/>
    <col min="13063" max="13063" width="14.50390625" style="256" customWidth="1"/>
    <col min="13064" max="13064" width="25.375" style="256" customWidth="1"/>
    <col min="13065" max="13065" width="13.875" style="256" customWidth="1"/>
    <col min="13066" max="13066" width="9.125" style="256" hidden="1" customWidth="1"/>
    <col min="13067" max="13067" width="14.625" style="256" customWidth="1"/>
    <col min="13068" max="13070" width="9.125" style="256" customWidth="1"/>
    <col min="13071" max="13071" width="9.625" style="256" bestFit="1" customWidth="1"/>
    <col min="13072" max="13312" width="9.125" style="256" customWidth="1"/>
    <col min="13313" max="13313" width="15.50390625" style="256" customWidth="1"/>
    <col min="13314" max="13314" width="45.375" style="256" customWidth="1"/>
    <col min="13315" max="13315" width="78.875" style="256" customWidth="1"/>
    <col min="13316" max="13316" width="28.875" style="256" customWidth="1"/>
    <col min="13317" max="13317" width="11.375" style="256" customWidth="1"/>
    <col min="13318" max="13318" width="23.875" style="256" customWidth="1"/>
    <col min="13319" max="13319" width="14.50390625" style="256" customWidth="1"/>
    <col min="13320" max="13320" width="25.375" style="256" customWidth="1"/>
    <col min="13321" max="13321" width="13.875" style="256" customWidth="1"/>
    <col min="13322" max="13322" width="9.125" style="256" hidden="1" customWidth="1"/>
    <col min="13323" max="13323" width="14.625" style="256" customWidth="1"/>
    <col min="13324" max="13326" width="9.125" style="256" customWidth="1"/>
    <col min="13327" max="13327" width="9.625" style="256" bestFit="1" customWidth="1"/>
    <col min="13328" max="13568" width="9.125" style="256" customWidth="1"/>
    <col min="13569" max="13569" width="15.50390625" style="256" customWidth="1"/>
    <col min="13570" max="13570" width="45.375" style="256" customWidth="1"/>
    <col min="13571" max="13571" width="78.875" style="256" customWidth="1"/>
    <col min="13572" max="13572" width="28.875" style="256" customWidth="1"/>
    <col min="13573" max="13573" width="11.375" style="256" customWidth="1"/>
    <col min="13574" max="13574" width="23.875" style="256" customWidth="1"/>
    <col min="13575" max="13575" width="14.50390625" style="256" customWidth="1"/>
    <col min="13576" max="13576" width="25.375" style="256" customWidth="1"/>
    <col min="13577" max="13577" width="13.875" style="256" customWidth="1"/>
    <col min="13578" max="13578" width="9.125" style="256" hidden="1" customWidth="1"/>
    <col min="13579" max="13579" width="14.625" style="256" customWidth="1"/>
    <col min="13580" max="13582" width="9.125" style="256" customWidth="1"/>
    <col min="13583" max="13583" width="9.625" style="256" bestFit="1" customWidth="1"/>
    <col min="13584" max="13824" width="9.125" style="256" customWidth="1"/>
    <col min="13825" max="13825" width="15.50390625" style="256" customWidth="1"/>
    <col min="13826" max="13826" width="45.375" style="256" customWidth="1"/>
    <col min="13827" max="13827" width="78.875" style="256" customWidth="1"/>
    <col min="13828" max="13828" width="28.875" style="256" customWidth="1"/>
    <col min="13829" max="13829" width="11.375" style="256" customWidth="1"/>
    <col min="13830" max="13830" width="23.875" style="256" customWidth="1"/>
    <col min="13831" max="13831" width="14.50390625" style="256" customWidth="1"/>
    <col min="13832" max="13832" width="25.375" style="256" customWidth="1"/>
    <col min="13833" max="13833" width="13.875" style="256" customWidth="1"/>
    <col min="13834" max="13834" width="9.125" style="256" hidden="1" customWidth="1"/>
    <col min="13835" max="13835" width="14.625" style="256" customWidth="1"/>
    <col min="13836" max="13838" width="9.125" style="256" customWidth="1"/>
    <col min="13839" max="13839" width="9.625" style="256" bestFit="1" customWidth="1"/>
    <col min="13840" max="14080" width="9.125" style="256" customWidth="1"/>
    <col min="14081" max="14081" width="15.50390625" style="256" customWidth="1"/>
    <col min="14082" max="14082" width="45.375" style="256" customWidth="1"/>
    <col min="14083" max="14083" width="78.875" style="256" customWidth="1"/>
    <col min="14084" max="14084" width="28.875" style="256" customWidth="1"/>
    <col min="14085" max="14085" width="11.375" style="256" customWidth="1"/>
    <col min="14086" max="14086" width="23.875" style="256" customWidth="1"/>
    <col min="14087" max="14087" width="14.50390625" style="256" customWidth="1"/>
    <col min="14088" max="14088" width="25.375" style="256" customWidth="1"/>
    <col min="14089" max="14089" width="13.875" style="256" customWidth="1"/>
    <col min="14090" max="14090" width="9.125" style="256" hidden="1" customWidth="1"/>
    <col min="14091" max="14091" width="14.625" style="256" customWidth="1"/>
    <col min="14092" max="14094" width="9.125" style="256" customWidth="1"/>
    <col min="14095" max="14095" width="9.625" style="256" bestFit="1" customWidth="1"/>
    <col min="14096" max="14336" width="9.125" style="256" customWidth="1"/>
    <col min="14337" max="14337" width="15.50390625" style="256" customWidth="1"/>
    <col min="14338" max="14338" width="45.375" style="256" customWidth="1"/>
    <col min="14339" max="14339" width="78.875" style="256" customWidth="1"/>
    <col min="14340" max="14340" width="28.875" style="256" customWidth="1"/>
    <col min="14341" max="14341" width="11.375" style="256" customWidth="1"/>
    <col min="14342" max="14342" width="23.875" style="256" customWidth="1"/>
    <col min="14343" max="14343" width="14.50390625" style="256" customWidth="1"/>
    <col min="14344" max="14344" width="25.375" style="256" customWidth="1"/>
    <col min="14345" max="14345" width="13.875" style="256" customWidth="1"/>
    <col min="14346" max="14346" width="9.125" style="256" hidden="1" customWidth="1"/>
    <col min="14347" max="14347" width="14.625" style="256" customWidth="1"/>
    <col min="14348" max="14350" width="9.125" style="256" customWidth="1"/>
    <col min="14351" max="14351" width="9.625" style="256" bestFit="1" customWidth="1"/>
    <col min="14352" max="14592" width="9.125" style="256" customWidth="1"/>
    <col min="14593" max="14593" width="15.50390625" style="256" customWidth="1"/>
    <col min="14594" max="14594" width="45.375" style="256" customWidth="1"/>
    <col min="14595" max="14595" width="78.875" style="256" customWidth="1"/>
    <col min="14596" max="14596" width="28.875" style="256" customWidth="1"/>
    <col min="14597" max="14597" width="11.375" style="256" customWidth="1"/>
    <col min="14598" max="14598" width="23.875" style="256" customWidth="1"/>
    <col min="14599" max="14599" width="14.50390625" style="256" customWidth="1"/>
    <col min="14600" max="14600" width="25.375" style="256" customWidth="1"/>
    <col min="14601" max="14601" width="13.875" style="256" customWidth="1"/>
    <col min="14602" max="14602" width="9.125" style="256" hidden="1" customWidth="1"/>
    <col min="14603" max="14603" width="14.625" style="256" customWidth="1"/>
    <col min="14604" max="14606" width="9.125" style="256" customWidth="1"/>
    <col min="14607" max="14607" width="9.625" style="256" bestFit="1" customWidth="1"/>
    <col min="14608" max="14848" width="9.125" style="256" customWidth="1"/>
    <col min="14849" max="14849" width="15.50390625" style="256" customWidth="1"/>
    <col min="14850" max="14850" width="45.375" style="256" customWidth="1"/>
    <col min="14851" max="14851" width="78.875" style="256" customWidth="1"/>
    <col min="14852" max="14852" width="28.875" style="256" customWidth="1"/>
    <col min="14853" max="14853" width="11.375" style="256" customWidth="1"/>
    <col min="14854" max="14854" width="23.875" style="256" customWidth="1"/>
    <col min="14855" max="14855" width="14.50390625" style="256" customWidth="1"/>
    <col min="14856" max="14856" width="25.375" style="256" customWidth="1"/>
    <col min="14857" max="14857" width="13.875" style="256" customWidth="1"/>
    <col min="14858" max="14858" width="9.125" style="256" hidden="1" customWidth="1"/>
    <col min="14859" max="14859" width="14.625" style="256" customWidth="1"/>
    <col min="14860" max="14862" width="9.125" style="256" customWidth="1"/>
    <col min="14863" max="14863" width="9.625" style="256" bestFit="1" customWidth="1"/>
    <col min="14864" max="15104" width="9.125" style="256" customWidth="1"/>
    <col min="15105" max="15105" width="15.50390625" style="256" customWidth="1"/>
    <col min="15106" max="15106" width="45.375" style="256" customWidth="1"/>
    <col min="15107" max="15107" width="78.875" style="256" customWidth="1"/>
    <col min="15108" max="15108" width="28.875" style="256" customWidth="1"/>
    <col min="15109" max="15109" width="11.375" style="256" customWidth="1"/>
    <col min="15110" max="15110" width="23.875" style="256" customWidth="1"/>
    <col min="15111" max="15111" width="14.50390625" style="256" customWidth="1"/>
    <col min="15112" max="15112" width="25.375" style="256" customWidth="1"/>
    <col min="15113" max="15113" width="13.875" style="256" customWidth="1"/>
    <col min="15114" max="15114" width="9.125" style="256" hidden="1" customWidth="1"/>
    <col min="15115" max="15115" width="14.625" style="256" customWidth="1"/>
    <col min="15116" max="15118" width="9.125" style="256" customWidth="1"/>
    <col min="15119" max="15119" width="9.625" style="256" bestFit="1" customWidth="1"/>
    <col min="15120" max="15360" width="9.125" style="256" customWidth="1"/>
    <col min="15361" max="15361" width="15.50390625" style="256" customWidth="1"/>
    <col min="15362" max="15362" width="45.375" style="256" customWidth="1"/>
    <col min="15363" max="15363" width="78.875" style="256" customWidth="1"/>
    <col min="15364" max="15364" width="28.875" style="256" customWidth="1"/>
    <col min="15365" max="15365" width="11.375" style="256" customWidth="1"/>
    <col min="15366" max="15366" width="23.875" style="256" customWidth="1"/>
    <col min="15367" max="15367" width="14.50390625" style="256" customWidth="1"/>
    <col min="15368" max="15368" width="25.375" style="256" customWidth="1"/>
    <col min="15369" max="15369" width="13.875" style="256" customWidth="1"/>
    <col min="15370" max="15370" width="9.125" style="256" hidden="1" customWidth="1"/>
    <col min="15371" max="15371" width="14.625" style="256" customWidth="1"/>
    <col min="15372" max="15374" width="9.125" style="256" customWidth="1"/>
    <col min="15375" max="15375" width="9.625" style="256" bestFit="1" customWidth="1"/>
    <col min="15376" max="15616" width="9.125" style="256" customWidth="1"/>
    <col min="15617" max="15617" width="15.50390625" style="256" customWidth="1"/>
    <col min="15618" max="15618" width="45.375" style="256" customWidth="1"/>
    <col min="15619" max="15619" width="78.875" style="256" customWidth="1"/>
    <col min="15620" max="15620" width="28.875" style="256" customWidth="1"/>
    <col min="15621" max="15621" width="11.375" style="256" customWidth="1"/>
    <col min="15622" max="15622" width="23.875" style="256" customWidth="1"/>
    <col min="15623" max="15623" width="14.50390625" style="256" customWidth="1"/>
    <col min="15624" max="15624" width="25.375" style="256" customWidth="1"/>
    <col min="15625" max="15625" width="13.875" style="256" customWidth="1"/>
    <col min="15626" max="15626" width="9.125" style="256" hidden="1" customWidth="1"/>
    <col min="15627" max="15627" width="14.625" style="256" customWidth="1"/>
    <col min="15628" max="15630" width="9.125" style="256" customWidth="1"/>
    <col min="15631" max="15631" width="9.625" style="256" bestFit="1" customWidth="1"/>
    <col min="15632" max="15872" width="9.125" style="256" customWidth="1"/>
    <col min="15873" max="15873" width="15.50390625" style="256" customWidth="1"/>
    <col min="15874" max="15874" width="45.375" style="256" customWidth="1"/>
    <col min="15875" max="15875" width="78.875" style="256" customWidth="1"/>
    <col min="15876" max="15876" width="28.875" style="256" customWidth="1"/>
    <col min="15877" max="15877" width="11.375" style="256" customWidth="1"/>
    <col min="15878" max="15878" width="23.875" style="256" customWidth="1"/>
    <col min="15879" max="15879" width="14.50390625" style="256" customWidth="1"/>
    <col min="15880" max="15880" width="25.375" style="256" customWidth="1"/>
    <col min="15881" max="15881" width="13.875" style="256" customWidth="1"/>
    <col min="15882" max="15882" width="9.125" style="256" hidden="1" customWidth="1"/>
    <col min="15883" max="15883" width="14.625" style="256" customWidth="1"/>
    <col min="15884" max="15886" width="9.125" style="256" customWidth="1"/>
    <col min="15887" max="15887" width="9.625" style="256" bestFit="1" customWidth="1"/>
    <col min="15888" max="16128" width="9.125" style="256" customWidth="1"/>
    <col min="16129" max="16129" width="15.50390625" style="256" customWidth="1"/>
    <col min="16130" max="16130" width="45.375" style="256" customWidth="1"/>
    <col min="16131" max="16131" width="78.875" style="256" customWidth="1"/>
    <col min="16132" max="16132" width="28.875" style="256" customWidth="1"/>
    <col min="16133" max="16133" width="11.375" style="256" customWidth="1"/>
    <col min="16134" max="16134" width="23.875" style="256" customWidth="1"/>
    <col min="16135" max="16135" width="14.50390625" style="256" customWidth="1"/>
    <col min="16136" max="16136" width="25.375" style="256" customWidth="1"/>
    <col min="16137" max="16137" width="13.875" style="256" customWidth="1"/>
    <col min="16138" max="16138" width="9.125" style="256" hidden="1" customWidth="1"/>
    <col min="16139" max="16139" width="14.625" style="256" customWidth="1"/>
    <col min="16140" max="16142" width="9.125" style="256" customWidth="1"/>
    <col min="16143" max="16143" width="9.625" style="256" bestFit="1" customWidth="1"/>
    <col min="16144" max="16384" width="9.125" style="256" customWidth="1"/>
  </cols>
  <sheetData>
    <row r="1" spans="5:16" s="1154" customFormat="1" ht="30.75" customHeight="1">
      <c r="E1" s="1155"/>
      <c r="I1" s="1726"/>
      <c r="J1" s="1726"/>
      <c r="K1" s="1726"/>
      <c r="L1" s="1726"/>
      <c r="M1" s="1726"/>
      <c r="N1" s="1726"/>
      <c r="O1" s="1726"/>
      <c r="P1" s="1726"/>
    </row>
    <row r="2" spans="1:16" s="1154" customFormat="1" ht="46.2">
      <c r="A2" s="1727" t="s">
        <v>2560</v>
      </c>
      <c r="B2" s="1727"/>
      <c r="C2" s="1727"/>
      <c r="D2" s="1727"/>
      <c r="E2" s="1727"/>
      <c r="F2" s="1727"/>
      <c r="G2" s="1727"/>
      <c r="H2" s="1727"/>
      <c r="I2" s="1156"/>
      <c r="J2" s="1156"/>
      <c r="K2" s="1156"/>
      <c r="L2" s="1156"/>
      <c r="M2" s="1156"/>
      <c r="N2" s="1156"/>
      <c r="O2" s="1156"/>
      <c r="P2" s="1156"/>
    </row>
    <row r="3" spans="2:16" s="1154" customFormat="1" ht="30.75" customHeight="1">
      <c r="B3" s="1157"/>
      <c r="C3" s="1158"/>
      <c r="D3" s="1158"/>
      <c r="E3" s="1159"/>
      <c r="F3" s="1158"/>
      <c r="G3" s="1158"/>
      <c r="H3" s="1158"/>
      <c r="I3" s="1156"/>
      <c r="J3" s="1156"/>
      <c r="K3" s="1156"/>
      <c r="L3" s="1156"/>
      <c r="M3" s="1156"/>
      <c r="N3" s="1156"/>
      <c r="O3" s="1156"/>
      <c r="P3" s="1156"/>
    </row>
    <row r="4" spans="2:16" s="1154" customFormat="1" ht="30.75" customHeight="1">
      <c r="B4" s="1157"/>
      <c r="C4" s="1158"/>
      <c r="D4" s="1158"/>
      <c r="E4" s="1159"/>
      <c r="F4" s="1158"/>
      <c r="G4" s="1158"/>
      <c r="H4" s="1158"/>
      <c r="I4" s="1156"/>
      <c r="J4" s="1156"/>
      <c r="K4" s="1156"/>
      <c r="L4" s="1156"/>
      <c r="M4" s="1156"/>
      <c r="N4" s="1156"/>
      <c r="O4" s="1156"/>
      <c r="P4" s="1156"/>
    </row>
    <row r="5" spans="5:16" s="1154" customFormat="1" ht="30.75" customHeight="1">
      <c r="E5" s="1155"/>
      <c r="I5" s="1156"/>
      <c r="J5" s="1156"/>
      <c r="K5" s="1156"/>
      <c r="L5" s="1156"/>
      <c r="M5" s="1156"/>
      <c r="N5" s="1156"/>
      <c r="O5" s="1156"/>
      <c r="P5" s="1156"/>
    </row>
    <row r="6" spans="1:6" s="1154" customFormat="1" ht="13.5" customHeight="1">
      <c r="A6" s="1156"/>
      <c r="B6" s="1156"/>
      <c r="C6" s="1156"/>
      <c r="D6" s="1156"/>
      <c r="E6" s="1160"/>
      <c r="F6" s="1156"/>
    </row>
    <row r="7" spans="1:6" s="1154" customFormat="1" ht="150" customHeight="1">
      <c r="A7" s="1728"/>
      <c r="B7" s="1728"/>
      <c r="C7" s="1156"/>
      <c r="D7" s="1156"/>
      <c r="E7" s="1160"/>
      <c r="F7" s="1156"/>
    </row>
    <row r="8" spans="1:6" s="1154" customFormat="1" ht="15.75" customHeight="1">
      <c r="A8" s="1161"/>
      <c r="B8" s="1162"/>
      <c r="C8" s="1156"/>
      <c r="D8" s="1156"/>
      <c r="E8" s="1160"/>
      <c r="F8" s="1156"/>
    </row>
    <row r="9" spans="1:8" s="1168" customFormat="1" ht="27.75" customHeight="1">
      <c r="A9" s="1724" t="s">
        <v>2561</v>
      </c>
      <c r="B9" s="1729"/>
      <c r="C9" s="1163" t="s">
        <v>2562</v>
      </c>
      <c r="D9" s="1164"/>
      <c r="E9" s="1165"/>
      <c r="F9" s="1164"/>
      <c r="G9" s="1166" t="s">
        <v>2563</v>
      </c>
      <c r="H9" s="1167">
        <v>41927</v>
      </c>
    </row>
    <row r="10" spans="1:5" s="1169" customFormat="1" ht="27.75" customHeight="1">
      <c r="A10" s="1725"/>
      <c r="B10" s="1725"/>
      <c r="C10" s="1163" t="s">
        <v>30</v>
      </c>
      <c r="E10" s="1170"/>
    </row>
    <row r="11" spans="1:5" s="1169" customFormat="1" ht="27.75" customHeight="1">
      <c r="A11" s="1725" t="s">
        <v>2564</v>
      </c>
      <c r="B11" s="1725"/>
      <c r="C11" s="1163" t="s">
        <v>2565</v>
      </c>
      <c r="E11" s="1170"/>
    </row>
    <row r="12" spans="1:8" s="1169" customFormat="1" ht="27.75" customHeight="1">
      <c r="A12" s="1725" t="s">
        <v>2566</v>
      </c>
      <c r="B12" s="1725"/>
      <c r="C12" s="1163" t="s">
        <v>2567</v>
      </c>
      <c r="D12" s="1171"/>
      <c r="E12" s="1170"/>
      <c r="H12" s="1172"/>
    </row>
    <row r="13" spans="1:8" s="1154" customFormat="1" ht="18" customHeight="1">
      <c r="A13" s="1173"/>
      <c r="C13" s="1174"/>
      <c r="D13" s="1175"/>
      <c r="E13" s="1155"/>
      <c r="F13" s="1176"/>
      <c r="G13" s="1176"/>
      <c r="H13" s="1176"/>
    </row>
    <row r="14" spans="1:8" s="1181" customFormat="1" ht="28.5" customHeight="1">
      <c r="A14" s="1177" t="s">
        <v>2568</v>
      </c>
      <c r="B14" s="1178" t="s">
        <v>2569</v>
      </c>
      <c r="C14" s="1178" t="s">
        <v>2570</v>
      </c>
      <c r="D14" s="1179" t="s">
        <v>2571</v>
      </c>
      <c r="E14" s="1178" t="s">
        <v>2572</v>
      </c>
      <c r="F14" s="1179" t="s">
        <v>2573</v>
      </c>
      <c r="G14" s="1179" t="s">
        <v>2574</v>
      </c>
      <c r="H14" s="1180" t="s">
        <v>2575</v>
      </c>
    </row>
    <row r="15" spans="1:8" s="1181" customFormat="1" ht="28.5" customHeight="1" thickBot="1">
      <c r="A15" s="1182"/>
      <c r="B15" s="1183"/>
      <c r="C15" s="1183"/>
      <c r="D15" s="1184" t="s">
        <v>65</v>
      </c>
      <c r="E15" s="1183" t="s">
        <v>9</v>
      </c>
      <c r="F15" s="1184" t="s">
        <v>65</v>
      </c>
      <c r="G15" s="1184" t="s">
        <v>757</v>
      </c>
      <c r="H15" s="1185" t="s">
        <v>65</v>
      </c>
    </row>
    <row r="16" spans="1:29" s="1154" customFormat="1" ht="20.1" customHeight="1" thickBot="1" thickTop="1">
      <c r="A16" s="1186"/>
      <c r="B16" s="1187"/>
      <c r="D16" s="1188"/>
      <c r="E16" s="1155"/>
      <c r="F16" s="1176"/>
      <c r="G16" s="1176"/>
      <c r="H16" s="1176"/>
      <c r="I16" s="1186"/>
      <c r="L16" s="1189"/>
      <c r="M16" s="1189"/>
      <c r="N16" s="1176"/>
      <c r="O16" s="1190"/>
      <c r="P16" s="1191"/>
      <c r="Q16" s="1191"/>
      <c r="R16" s="1176"/>
      <c r="S16" s="1176"/>
      <c r="T16" s="1192"/>
      <c r="U16" s="1193"/>
      <c r="V16" s="1176"/>
      <c r="W16" s="1194"/>
      <c r="Y16" s="1176"/>
      <c r="Z16" s="1176"/>
      <c r="AA16" s="1176"/>
      <c r="AB16" s="1195"/>
      <c r="AC16" s="1176"/>
    </row>
    <row r="17" spans="1:29" s="1168" customFormat="1" ht="44.25" customHeight="1" thickBot="1">
      <c r="A17" s="1196"/>
      <c r="B17" s="1721" t="s">
        <v>2576</v>
      </c>
      <c r="C17" s="1722"/>
      <c r="D17" s="1722"/>
      <c r="E17" s="1722"/>
      <c r="F17" s="1722"/>
      <c r="G17" s="1722"/>
      <c r="H17" s="1723"/>
      <c r="I17" s="1197"/>
      <c r="L17" s="1198"/>
      <c r="M17" s="1198"/>
      <c r="N17" s="1199"/>
      <c r="O17" s="1200"/>
      <c r="P17" s="1201"/>
      <c r="Q17" s="1201"/>
      <c r="R17" s="1199"/>
      <c r="S17" s="1199"/>
      <c r="T17" s="1202"/>
      <c r="U17" s="1203"/>
      <c r="V17" s="1199"/>
      <c r="W17" s="1204"/>
      <c r="Y17" s="1199"/>
      <c r="Z17" s="1199"/>
      <c r="AA17" s="1199"/>
      <c r="AB17" s="1205"/>
      <c r="AC17" s="1199"/>
    </row>
    <row r="18" spans="1:10" s="1168" customFormat="1" ht="24.75" customHeight="1">
      <c r="A18" s="1206"/>
      <c r="B18" s="1207"/>
      <c r="C18" s="1208"/>
      <c r="D18" s="1209"/>
      <c r="E18" s="1210"/>
      <c r="F18" s="1211"/>
      <c r="G18" s="1211"/>
      <c r="H18" s="1211"/>
      <c r="I18" s="1212"/>
      <c r="J18" s="1213">
        <f>D18*G18</f>
        <v>0</v>
      </c>
    </row>
    <row r="19" spans="1:10" s="1214" customFormat="1" ht="20.1" customHeight="1">
      <c r="A19" s="1206"/>
      <c r="B19" s="1208" t="s">
        <v>2577</v>
      </c>
      <c r="D19" s="1209">
        <v>0</v>
      </c>
      <c r="E19" s="1210"/>
      <c r="F19" s="1211" t="str">
        <f>IF(D19*(100-E19)/100,D19*(100-E19)/100,"")</f>
        <v/>
      </c>
      <c r="G19" s="1211">
        <v>3</v>
      </c>
      <c r="H19" s="1211">
        <f>D19*G19</f>
        <v>0</v>
      </c>
      <c r="I19" s="1215"/>
      <c r="J19" s="1216"/>
    </row>
    <row r="20" spans="1:10" s="1214" customFormat="1" ht="20.1" customHeight="1">
      <c r="A20" s="1206"/>
      <c r="B20" s="1208" t="s">
        <v>2577</v>
      </c>
      <c r="D20" s="1209">
        <v>0</v>
      </c>
      <c r="E20" s="1210"/>
      <c r="F20" s="1211" t="str">
        <f>IF(D20*(100-E20)/100,D20*(100-E20)/100,"")</f>
        <v/>
      </c>
      <c r="G20" s="1211">
        <v>5</v>
      </c>
      <c r="H20" s="1211">
        <f>D20*G20</f>
        <v>0</v>
      </c>
      <c r="I20" s="1215"/>
      <c r="J20" s="1216"/>
    </row>
    <row r="21" spans="1:10" s="1214" customFormat="1" ht="20.1" customHeight="1">
      <c r="A21" s="1206"/>
      <c r="B21" s="1208" t="s">
        <v>2578</v>
      </c>
      <c r="D21" s="1209">
        <v>0</v>
      </c>
      <c r="E21" s="1210"/>
      <c r="F21" s="1211" t="str">
        <f>IF(D21*(100-E21)/100,D21*(100-E21)/100,"")</f>
        <v/>
      </c>
      <c r="G21" s="1211">
        <v>16</v>
      </c>
      <c r="H21" s="1211">
        <f>D21*G21</f>
        <v>0</v>
      </c>
      <c r="I21" s="1215"/>
      <c r="J21" s="1216"/>
    </row>
    <row r="22" spans="1:10" s="1214" customFormat="1" ht="20.1" customHeight="1">
      <c r="A22" s="1206"/>
      <c r="B22" s="1208" t="s">
        <v>2579</v>
      </c>
      <c r="D22" s="1209">
        <v>0</v>
      </c>
      <c r="E22" s="1210"/>
      <c r="F22" s="1211" t="str">
        <f>IF(D22*(100-E22)/100,D22*(100-E22)/100,"")</f>
        <v/>
      </c>
      <c r="G22" s="1211">
        <v>1</v>
      </c>
      <c r="H22" s="1211">
        <f>D22*G22</f>
        <v>0</v>
      </c>
      <c r="I22" s="1215"/>
      <c r="J22" s="1216"/>
    </row>
    <row r="23" spans="1:10" s="1214" customFormat="1" ht="20.1" customHeight="1">
      <c r="A23" s="1206"/>
      <c r="B23" s="1207" t="s">
        <v>2580</v>
      </c>
      <c r="C23" s="1208" t="s">
        <v>2581</v>
      </c>
      <c r="D23" s="1209">
        <v>0</v>
      </c>
      <c r="E23" s="1210"/>
      <c r="F23" s="1211">
        <v>0</v>
      </c>
      <c r="G23" s="1211">
        <v>6</v>
      </c>
      <c r="H23" s="1211" t="str">
        <f aca="true" t="shared" si="0" ref="H23:H24">IF(F23*G23,F23*G23,"")</f>
        <v/>
      </c>
      <c r="I23" s="1215"/>
      <c r="J23" s="1216"/>
    </row>
    <row r="24" spans="1:10" s="1214" customFormat="1" ht="20.1" customHeight="1">
      <c r="A24" s="1206"/>
      <c r="B24" s="1207" t="s">
        <v>2580</v>
      </c>
      <c r="C24" s="1208" t="s">
        <v>2582</v>
      </c>
      <c r="D24" s="1209">
        <v>0</v>
      </c>
      <c r="E24" s="1210"/>
      <c r="F24" s="1211">
        <v>0</v>
      </c>
      <c r="G24" s="1211">
        <v>2</v>
      </c>
      <c r="H24" s="1211" t="str">
        <f t="shared" si="0"/>
        <v/>
      </c>
      <c r="I24" s="1215"/>
      <c r="J24" s="1216"/>
    </row>
    <row r="25" spans="1:10" s="1214" customFormat="1" ht="20.1" customHeight="1">
      <c r="A25" s="1206"/>
      <c r="B25" s="1208" t="s">
        <v>2583</v>
      </c>
      <c r="D25" s="1209">
        <v>0</v>
      </c>
      <c r="E25" s="1210"/>
      <c r="F25" s="1211" t="str">
        <f>IF(D25*(100-E25)/100,D25*(100-E25)/100,"")</f>
        <v/>
      </c>
      <c r="G25" s="1211">
        <v>1</v>
      </c>
      <c r="H25" s="1211">
        <f>D25*G25</f>
        <v>0</v>
      </c>
      <c r="I25" s="1215"/>
      <c r="J25" s="1216"/>
    </row>
    <row r="26" spans="1:10" s="1214" customFormat="1" ht="20.1" customHeight="1">
      <c r="A26" s="1206"/>
      <c r="B26" s="1208" t="s">
        <v>2584</v>
      </c>
      <c r="D26" s="1209">
        <v>0</v>
      </c>
      <c r="E26" s="1210"/>
      <c r="F26" s="1211" t="str">
        <f>IF(D26*(100-E26)/100,D26*(100-E26)/100,"")</f>
        <v/>
      </c>
      <c r="G26" s="1211">
        <v>1</v>
      </c>
      <c r="H26" s="1211">
        <f>D26*G26</f>
        <v>0</v>
      </c>
      <c r="I26" s="1215"/>
      <c r="J26" s="1216"/>
    </row>
    <row r="27" spans="1:10" s="1214" customFormat="1" ht="20.1" customHeight="1">
      <c r="A27" s="1206"/>
      <c r="B27" s="1208" t="s">
        <v>2585</v>
      </c>
      <c r="D27" s="1209">
        <v>0</v>
      </c>
      <c r="E27" s="1210"/>
      <c r="F27" s="1211" t="str">
        <f>IF(D27*(100-E27)/100,D27*(100-E27)/100,"")</f>
        <v/>
      </c>
      <c r="G27" s="1211">
        <v>1</v>
      </c>
      <c r="H27" s="1211">
        <f>D27*G27</f>
        <v>0</v>
      </c>
      <c r="I27" s="1215"/>
      <c r="J27" s="1216"/>
    </row>
    <row r="28" spans="1:10" s="1214" customFormat="1" ht="20.1" customHeight="1">
      <c r="A28" s="1206"/>
      <c r="B28" s="1207" t="s">
        <v>2586</v>
      </c>
      <c r="C28" s="1208"/>
      <c r="D28" s="1209">
        <v>0</v>
      </c>
      <c r="E28" s="1210"/>
      <c r="F28" s="1211">
        <v>0</v>
      </c>
      <c r="G28" s="1211">
        <v>200</v>
      </c>
      <c r="H28" s="1211" t="str">
        <f>IF(F28*G28,F28*G28,"")</f>
        <v/>
      </c>
      <c r="I28" s="1215"/>
      <c r="J28" s="1216"/>
    </row>
    <row r="29" spans="1:10" s="1214" customFormat="1" ht="19.5" customHeight="1">
      <c r="A29" s="1206"/>
      <c r="B29" s="1207" t="s">
        <v>2587</v>
      </c>
      <c r="C29" s="1208"/>
      <c r="D29" s="1209">
        <v>0</v>
      </c>
      <c r="E29" s="1210"/>
      <c r="F29" s="1211">
        <v>0</v>
      </c>
      <c r="G29" s="1211">
        <v>700</v>
      </c>
      <c r="H29" s="1211" t="str">
        <f>IF(F29*G29,F29*G29,"")</f>
        <v/>
      </c>
      <c r="I29" s="1215"/>
      <c r="J29" s="1216"/>
    </row>
    <row r="30" spans="1:10" s="1214" customFormat="1" ht="20.1" customHeight="1">
      <c r="A30" s="1206"/>
      <c r="B30" s="1207" t="s">
        <v>2588</v>
      </c>
      <c r="C30" s="1208"/>
      <c r="D30" s="1209">
        <v>0</v>
      </c>
      <c r="E30" s="1210"/>
      <c r="F30" s="1211">
        <v>0</v>
      </c>
      <c r="G30" s="1211">
        <v>50</v>
      </c>
      <c r="H30" s="1211" t="str">
        <f>IF(F30*G30,F30*G30,"")</f>
        <v/>
      </c>
      <c r="I30" s="1215"/>
      <c r="J30" s="1216"/>
    </row>
    <row r="31" spans="1:10" s="1168" customFormat="1" ht="24.75" customHeight="1" thickBot="1">
      <c r="A31" s="1206"/>
      <c r="B31" s="1207"/>
      <c r="C31" s="1217"/>
      <c r="D31" s="1218"/>
      <c r="E31" s="1210"/>
      <c r="F31" s="1219"/>
      <c r="G31" s="1220"/>
      <c r="H31" s="1220"/>
      <c r="I31" s="1212"/>
      <c r="J31" s="1213">
        <f aca="true" t="shared" si="1" ref="J31:J83">D31*G31</f>
        <v>0</v>
      </c>
    </row>
    <row r="32" spans="1:10" s="1168" customFormat="1" ht="46.5" customHeight="1" thickBot="1">
      <c r="A32" s="1206"/>
      <c r="B32" s="1721" t="s">
        <v>2589</v>
      </c>
      <c r="C32" s="1722"/>
      <c r="D32" s="1722"/>
      <c r="E32" s="1722"/>
      <c r="F32" s="1722"/>
      <c r="G32" s="1722"/>
      <c r="H32" s="1723"/>
      <c r="I32" s="1212"/>
      <c r="J32" s="1213">
        <f t="shared" si="1"/>
        <v>0</v>
      </c>
    </row>
    <row r="33" spans="1:10" s="1168" customFormat="1" ht="20.1" customHeight="1">
      <c r="A33" s="1206"/>
      <c r="B33" s="1221"/>
      <c r="C33" s="1217"/>
      <c r="D33" s="1218"/>
      <c r="E33" s="1222"/>
      <c r="F33" s="1219"/>
      <c r="G33" s="1220"/>
      <c r="H33" s="1220"/>
      <c r="I33" s="1212"/>
      <c r="J33" s="1213">
        <f t="shared" si="1"/>
        <v>0</v>
      </c>
    </row>
    <row r="34" spans="1:10" s="1168" customFormat="1" ht="20.1" customHeight="1">
      <c r="A34" s="1206"/>
      <c r="B34" s="1208" t="s">
        <v>2590</v>
      </c>
      <c r="D34" s="1209">
        <v>0</v>
      </c>
      <c r="E34" s="1210"/>
      <c r="F34" s="1211" t="str">
        <f>IF(D34*(100-E34)/100,D34*(100-E34)/100,"")</f>
        <v/>
      </c>
      <c r="G34" s="1211">
        <v>51</v>
      </c>
      <c r="H34" s="1211">
        <f>D34*G34</f>
        <v>0</v>
      </c>
      <c r="I34" s="1223"/>
      <c r="J34" s="1213">
        <f t="shared" si="1"/>
        <v>0</v>
      </c>
    </row>
    <row r="35" spans="1:10" s="1168" customFormat="1" ht="20.1" customHeight="1">
      <c r="A35" s="1206"/>
      <c r="B35" s="1208" t="s">
        <v>2591</v>
      </c>
      <c r="D35" s="1209">
        <v>0</v>
      </c>
      <c r="E35" s="1210"/>
      <c r="F35" s="1211" t="str">
        <f>IF(D35*(100-E35)/100,D35*(100-E35)/100,"")</f>
        <v/>
      </c>
      <c r="G35" s="1211">
        <v>51</v>
      </c>
      <c r="H35" s="1211">
        <f>D35*G35</f>
        <v>0</v>
      </c>
      <c r="I35" s="1223"/>
      <c r="J35" s="1213">
        <v>1</v>
      </c>
    </row>
    <row r="36" spans="1:10" s="1154" customFormat="1" ht="19.5" customHeight="1">
      <c r="A36" s="1206"/>
      <c r="B36" s="1208" t="s">
        <v>2592</v>
      </c>
      <c r="D36" s="1209">
        <v>0</v>
      </c>
      <c r="E36" s="1210"/>
      <c r="F36" s="1211" t="str">
        <f aca="true" t="shared" si="2" ref="F36:F43">IF(D36*(100-E36)/100,D36*(100-E36)/100,"")</f>
        <v/>
      </c>
      <c r="G36" s="1211">
        <v>229</v>
      </c>
      <c r="H36" s="1211">
        <f>D36*G36</f>
        <v>0</v>
      </c>
      <c r="I36" s="1215"/>
      <c r="J36" s="1216"/>
    </row>
    <row r="37" spans="1:10" s="1214" customFormat="1" ht="20.1" customHeight="1">
      <c r="A37" s="1206"/>
      <c r="B37" s="1208" t="s">
        <v>2593</v>
      </c>
      <c r="D37" s="1209">
        <v>0</v>
      </c>
      <c r="E37" s="1210"/>
      <c r="F37" s="1211" t="str">
        <f t="shared" si="2"/>
        <v/>
      </c>
      <c r="G37" s="1211">
        <v>17</v>
      </c>
      <c r="H37" s="1211">
        <f>D37*G37</f>
        <v>0</v>
      </c>
      <c r="I37" s="1215"/>
      <c r="J37" s="1216"/>
    </row>
    <row r="38" spans="1:10" s="1214" customFormat="1" ht="20.1" customHeight="1">
      <c r="A38" s="1206"/>
      <c r="B38" s="1208" t="s">
        <v>2594</v>
      </c>
      <c r="D38" s="1209">
        <v>0</v>
      </c>
      <c r="E38" s="1210"/>
      <c r="F38" s="1211" t="str">
        <f t="shared" si="2"/>
        <v/>
      </c>
      <c r="G38" s="1211">
        <v>3</v>
      </c>
      <c r="H38" s="1211">
        <f aca="true" t="shared" si="3" ref="H38:H44">D38*G38</f>
        <v>0</v>
      </c>
      <c r="I38" s="1215"/>
      <c r="J38" s="1216"/>
    </row>
    <row r="39" spans="1:10" s="1214" customFormat="1" ht="20.1" customHeight="1">
      <c r="A39" s="1206"/>
      <c r="B39" s="1208" t="s">
        <v>2595</v>
      </c>
      <c r="D39" s="1209">
        <v>0</v>
      </c>
      <c r="E39" s="1210"/>
      <c r="F39" s="1211" t="str">
        <f t="shared" si="2"/>
        <v/>
      </c>
      <c r="G39" s="1211">
        <v>3</v>
      </c>
      <c r="H39" s="1211">
        <f t="shared" si="3"/>
        <v>0</v>
      </c>
      <c r="I39" s="1215"/>
      <c r="J39" s="1216"/>
    </row>
    <row r="40" spans="1:10" s="1214" customFormat="1" ht="20.1" customHeight="1">
      <c r="A40" s="1206"/>
      <c r="B40" s="1208" t="s">
        <v>2596</v>
      </c>
      <c r="D40" s="1209">
        <v>0</v>
      </c>
      <c r="E40" s="1210"/>
      <c r="F40" s="1211" t="str">
        <f t="shared" si="2"/>
        <v/>
      </c>
      <c r="G40" s="1211">
        <v>13</v>
      </c>
      <c r="H40" s="1211">
        <f t="shared" si="3"/>
        <v>0</v>
      </c>
      <c r="I40" s="1215"/>
      <c r="J40" s="1216"/>
    </row>
    <row r="41" spans="1:10" s="1214" customFormat="1" ht="19.5" customHeight="1">
      <c r="A41" s="1206"/>
      <c r="B41" s="1208" t="s">
        <v>2597</v>
      </c>
      <c r="D41" s="1209">
        <v>0</v>
      </c>
      <c r="E41" s="1210"/>
      <c r="F41" s="1211" t="str">
        <f t="shared" si="2"/>
        <v/>
      </c>
      <c r="G41" s="1211">
        <v>5</v>
      </c>
      <c r="H41" s="1211">
        <f t="shared" si="3"/>
        <v>0</v>
      </c>
      <c r="I41" s="1215"/>
      <c r="J41" s="1216"/>
    </row>
    <row r="42" spans="1:10" s="1214" customFormat="1" ht="20.1" customHeight="1">
      <c r="A42" s="1206"/>
      <c r="B42" s="1208" t="s">
        <v>2598</v>
      </c>
      <c r="D42" s="1209">
        <v>0</v>
      </c>
      <c r="E42" s="1210"/>
      <c r="F42" s="1211" t="str">
        <f t="shared" si="2"/>
        <v/>
      </c>
      <c r="G42" s="1211">
        <v>5</v>
      </c>
      <c r="H42" s="1211">
        <f t="shared" si="3"/>
        <v>0</v>
      </c>
      <c r="I42" s="1215"/>
      <c r="J42" s="1216"/>
    </row>
    <row r="43" spans="1:10" s="1154" customFormat="1" ht="20.1" customHeight="1">
      <c r="A43" s="1206"/>
      <c r="B43" s="1208" t="s">
        <v>2599</v>
      </c>
      <c r="D43" s="1209">
        <v>0</v>
      </c>
      <c r="E43" s="1210"/>
      <c r="F43" s="1211" t="str">
        <f t="shared" si="2"/>
        <v/>
      </c>
      <c r="G43" s="1211">
        <v>30</v>
      </c>
      <c r="H43" s="1211">
        <f t="shared" si="3"/>
        <v>0</v>
      </c>
      <c r="I43" s="1215"/>
      <c r="J43" s="1216"/>
    </row>
    <row r="44" spans="1:10" s="1168" customFormat="1" ht="20.1" customHeight="1">
      <c r="A44" s="1206"/>
      <c r="B44" s="1208" t="s">
        <v>2600</v>
      </c>
      <c r="D44" s="1209">
        <v>0</v>
      </c>
      <c r="E44" s="1210"/>
      <c r="F44" s="1211" t="str">
        <f>IF(D44*(100-E44)/100,D44*(100-E44)/100,"")</f>
        <v/>
      </c>
      <c r="G44" s="1211">
        <v>28</v>
      </c>
      <c r="H44" s="1211">
        <f t="shared" si="3"/>
        <v>0</v>
      </c>
      <c r="I44" s="1223"/>
      <c r="J44" s="1213">
        <f t="shared" si="1"/>
        <v>0</v>
      </c>
    </row>
    <row r="45" spans="1:10" s="1168" customFormat="1" ht="20.1" customHeight="1" thickBot="1">
      <c r="A45" s="1206"/>
      <c r="B45" s="1221"/>
      <c r="C45" s="1217"/>
      <c r="D45" s="1218"/>
      <c r="E45" s="1222"/>
      <c r="F45" s="1219"/>
      <c r="G45" s="1220"/>
      <c r="H45" s="1220"/>
      <c r="I45" s="1212"/>
      <c r="J45" s="1213">
        <f t="shared" si="1"/>
        <v>0</v>
      </c>
    </row>
    <row r="46" spans="1:10" s="1168" customFormat="1" ht="46.5" customHeight="1" thickBot="1">
      <c r="A46" s="1206"/>
      <c r="B46" s="1721" t="s">
        <v>2601</v>
      </c>
      <c r="C46" s="1722"/>
      <c r="D46" s="1722"/>
      <c r="E46" s="1722"/>
      <c r="F46" s="1722"/>
      <c r="G46" s="1722"/>
      <c r="H46" s="1723"/>
      <c r="I46" s="1212"/>
      <c r="J46" s="1213">
        <f t="shared" si="1"/>
        <v>0</v>
      </c>
    </row>
    <row r="47" spans="1:10" s="1168" customFormat="1" ht="20.1" customHeight="1">
      <c r="A47" s="1206"/>
      <c r="B47" s="1207"/>
      <c r="C47" s="1208"/>
      <c r="D47" s="1209"/>
      <c r="E47" s="1210"/>
      <c r="F47" s="1211"/>
      <c r="G47" s="1211"/>
      <c r="H47" s="1211"/>
      <c r="I47" s="1212"/>
      <c r="J47" s="1213">
        <f t="shared" si="1"/>
        <v>0</v>
      </c>
    </row>
    <row r="48" spans="1:10" s="1168" customFormat="1" ht="20.1" customHeight="1">
      <c r="A48" s="1206"/>
      <c r="B48" s="1208" t="s">
        <v>2602</v>
      </c>
      <c r="D48" s="1209">
        <v>0</v>
      </c>
      <c r="E48" s="1210"/>
      <c r="F48" s="1211" t="str">
        <f aca="true" t="shared" si="4" ref="F48:F59">IF(D48*(100-E48)/100,D48*(100-E48)/100,"")</f>
        <v/>
      </c>
      <c r="G48" s="1211">
        <v>667</v>
      </c>
      <c r="H48" s="1211">
        <f aca="true" t="shared" si="5" ref="H48:H59">D48*G48</f>
        <v>0</v>
      </c>
      <c r="I48" s="1223"/>
      <c r="J48" s="1213">
        <f t="shared" si="1"/>
        <v>0</v>
      </c>
    </row>
    <row r="49" spans="1:10" s="1214" customFormat="1" ht="20.1" customHeight="1">
      <c r="A49" s="1206"/>
      <c r="B49" s="1208" t="s">
        <v>2603</v>
      </c>
      <c r="D49" s="1209">
        <v>0</v>
      </c>
      <c r="E49" s="1210"/>
      <c r="F49" s="1211" t="str">
        <f t="shared" si="4"/>
        <v/>
      </c>
      <c r="G49" s="1211">
        <v>72</v>
      </c>
      <c r="H49" s="1211">
        <f t="shared" si="5"/>
        <v>0</v>
      </c>
      <c r="I49" s="1215"/>
      <c r="J49" s="1216"/>
    </row>
    <row r="50" spans="1:10" s="1168" customFormat="1" ht="20.1" customHeight="1">
      <c r="A50" s="1206"/>
      <c r="B50" s="1208" t="s">
        <v>2604</v>
      </c>
      <c r="D50" s="1209">
        <v>0</v>
      </c>
      <c r="E50" s="1210"/>
      <c r="F50" s="1211" t="str">
        <f t="shared" si="4"/>
        <v/>
      </c>
      <c r="G50" s="1211">
        <v>76</v>
      </c>
      <c r="H50" s="1211">
        <f t="shared" si="5"/>
        <v>0</v>
      </c>
      <c r="I50" s="1223"/>
      <c r="J50" s="1213">
        <f t="shared" si="1"/>
        <v>0</v>
      </c>
    </row>
    <row r="51" spans="1:10" s="1214" customFormat="1" ht="20.1" customHeight="1">
      <c r="A51" s="1206"/>
      <c r="B51" s="1208" t="s">
        <v>2605</v>
      </c>
      <c r="D51" s="1209">
        <v>0</v>
      </c>
      <c r="E51" s="1210"/>
      <c r="F51" s="1211" t="str">
        <f t="shared" si="4"/>
        <v/>
      </c>
      <c r="G51" s="1211">
        <v>153</v>
      </c>
      <c r="H51" s="1211">
        <f t="shared" si="5"/>
        <v>0</v>
      </c>
      <c r="I51" s="1215"/>
      <c r="J51" s="1216"/>
    </row>
    <row r="52" spans="1:10" s="1214" customFormat="1" ht="20.1" customHeight="1">
      <c r="A52" s="1206"/>
      <c r="B52" s="1208" t="s">
        <v>2606</v>
      </c>
      <c r="C52" s="1208" t="s">
        <v>2607</v>
      </c>
      <c r="D52" s="1209">
        <v>0</v>
      </c>
      <c r="E52" s="1210"/>
      <c r="F52" s="1211" t="str">
        <f t="shared" si="4"/>
        <v/>
      </c>
      <c r="G52" s="1211">
        <v>1</v>
      </c>
      <c r="H52" s="1211">
        <f t="shared" si="5"/>
        <v>0</v>
      </c>
      <c r="I52" s="1215"/>
      <c r="J52" s="1216"/>
    </row>
    <row r="53" spans="1:10" s="1168" customFormat="1" ht="20.1" customHeight="1">
      <c r="A53" s="1206"/>
      <c r="B53" s="1208" t="s">
        <v>2608</v>
      </c>
      <c r="D53" s="1209">
        <v>0</v>
      </c>
      <c r="E53" s="1210"/>
      <c r="F53" s="1211" t="str">
        <f t="shared" si="4"/>
        <v/>
      </c>
      <c r="G53" s="1211">
        <v>510</v>
      </c>
      <c r="H53" s="1211">
        <f t="shared" si="5"/>
        <v>0</v>
      </c>
      <c r="I53" s="1223"/>
      <c r="J53" s="1213">
        <f t="shared" si="1"/>
        <v>0</v>
      </c>
    </row>
    <row r="54" spans="1:10" s="1214" customFormat="1" ht="20.1" customHeight="1">
      <c r="A54" s="1206"/>
      <c r="B54" s="1208" t="s">
        <v>2609</v>
      </c>
      <c r="D54" s="1209">
        <v>0</v>
      </c>
      <c r="E54" s="1210"/>
      <c r="F54" s="1211" t="str">
        <f>IF(D54*(100-E54)/100,D54*(100-E54)/100,"")</f>
        <v/>
      </c>
      <c r="G54" s="1211">
        <v>95</v>
      </c>
      <c r="H54" s="1211">
        <f t="shared" si="5"/>
        <v>0</v>
      </c>
      <c r="I54" s="1215"/>
      <c r="J54" s="1216"/>
    </row>
    <row r="55" spans="1:10" s="1168" customFormat="1" ht="20.1" customHeight="1">
      <c r="A55" s="1206"/>
      <c r="B55" s="1208" t="s">
        <v>2610</v>
      </c>
      <c r="D55" s="1209">
        <v>0</v>
      </c>
      <c r="E55" s="1210"/>
      <c r="F55" s="1211" t="str">
        <f t="shared" si="4"/>
        <v/>
      </c>
      <c r="G55" s="1211">
        <v>2</v>
      </c>
      <c r="H55" s="1211">
        <f t="shared" si="5"/>
        <v>0</v>
      </c>
      <c r="I55" s="1223"/>
      <c r="J55" s="1213">
        <f t="shared" si="1"/>
        <v>0</v>
      </c>
    </row>
    <row r="56" spans="1:10" s="1168" customFormat="1" ht="20.1" customHeight="1">
      <c r="A56" s="1206"/>
      <c r="B56" s="1208" t="s">
        <v>2611</v>
      </c>
      <c r="D56" s="1209">
        <v>0</v>
      </c>
      <c r="E56" s="1210"/>
      <c r="F56" s="1211" t="str">
        <f t="shared" si="4"/>
        <v/>
      </c>
      <c r="G56" s="1211">
        <v>2</v>
      </c>
      <c r="H56" s="1211">
        <f t="shared" si="5"/>
        <v>0</v>
      </c>
      <c r="I56" s="1223"/>
      <c r="J56" s="1213">
        <f t="shared" si="1"/>
        <v>0</v>
      </c>
    </row>
    <row r="57" spans="1:10" s="1168" customFormat="1" ht="20.1" customHeight="1">
      <c r="A57" s="1206"/>
      <c r="B57" s="1208" t="s">
        <v>2612</v>
      </c>
      <c r="D57" s="1209">
        <v>0</v>
      </c>
      <c r="E57" s="1210"/>
      <c r="F57" s="1211" t="str">
        <f t="shared" si="4"/>
        <v/>
      </c>
      <c r="G57" s="1211">
        <v>20</v>
      </c>
      <c r="H57" s="1211">
        <f t="shared" si="5"/>
        <v>0</v>
      </c>
      <c r="I57" s="1223"/>
      <c r="J57" s="1213">
        <f t="shared" si="1"/>
        <v>0</v>
      </c>
    </row>
    <row r="58" spans="1:10" s="1168" customFormat="1" ht="20.1" customHeight="1">
      <c r="A58" s="1206"/>
      <c r="B58" s="1208" t="s">
        <v>2613</v>
      </c>
      <c r="D58" s="1209">
        <v>0</v>
      </c>
      <c r="E58" s="1210"/>
      <c r="F58" s="1211" t="str">
        <f t="shared" si="4"/>
        <v/>
      </c>
      <c r="G58" s="1211">
        <v>11</v>
      </c>
      <c r="H58" s="1211">
        <f t="shared" si="5"/>
        <v>0</v>
      </c>
      <c r="I58" s="1223"/>
      <c r="J58" s="1213">
        <f t="shared" si="1"/>
        <v>0</v>
      </c>
    </row>
    <row r="59" spans="1:10" s="1168" customFormat="1" ht="20.1" customHeight="1">
      <c r="A59" s="1206"/>
      <c r="B59" s="1208" t="s">
        <v>2614</v>
      </c>
      <c r="C59" s="1208"/>
      <c r="D59" s="1209">
        <v>0</v>
      </c>
      <c r="E59" s="1210"/>
      <c r="F59" s="1211" t="str">
        <f t="shared" si="4"/>
        <v/>
      </c>
      <c r="G59" s="1211">
        <v>834</v>
      </c>
      <c r="H59" s="1211">
        <f t="shared" si="5"/>
        <v>0</v>
      </c>
      <c r="I59" s="1223"/>
      <c r="J59" s="1213">
        <f t="shared" si="1"/>
        <v>0</v>
      </c>
    </row>
    <row r="60" spans="1:10" s="1168" customFormat="1" ht="20.1" customHeight="1" thickBot="1">
      <c r="A60" s="1206"/>
      <c r="B60" s="1224"/>
      <c r="C60" s="1225"/>
      <c r="D60" s="1218"/>
      <c r="E60" s="1222"/>
      <c r="F60" s="1226"/>
      <c r="G60" s="1226"/>
      <c r="H60" s="1226"/>
      <c r="I60" s="1212"/>
      <c r="J60" s="1213">
        <f t="shared" si="1"/>
        <v>0</v>
      </c>
    </row>
    <row r="61" spans="1:10" s="1168" customFormat="1" ht="46.5" customHeight="1" thickBot="1">
      <c r="A61" s="1206"/>
      <c r="B61" s="1721" t="s">
        <v>2615</v>
      </c>
      <c r="C61" s="1722"/>
      <c r="D61" s="1722"/>
      <c r="E61" s="1722"/>
      <c r="F61" s="1722"/>
      <c r="G61" s="1722"/>
      <c r="H61" s="1723"/>
      <c r="I61" s="1212"/>
      <c r="J61" s="1213">
        <f t="shared" si="1"/>
        <v>0</v>
      </c>
    </row>
    <row r="62" spans="1:29" s="1168" customFormat="1" ht="20.1" customHeight="1">
      <c r="A62" s="1206"/>
      <c r="B62" s="1227"/>
      <c r="C62" s="1228"/>
      <c r="D62" s="1229"/>
      <c r="E62" s="1230"/>
      <c r="F62" s="1220"/>
      <c r="G62" s="1220"/>
      <c r="H62" s="1220"/>
      <c r="I62" s="1197"/>
      <c r="J62" s="1213">
        <f t="shared" si="1"/>
        <v>0</v>
      </c>
      <c r="L62" s="1198"/>
      <c r="M62" s="1198"/>
      <c r="N62" s="1199"/>
      <c r="O62" s="1200"/>
      <c r="P62" s="1201"/>
      <c r="Q62" s="1201"/>
      <c r="R62" s="1199"/>
      <c r="S62" s="1199"/>
      <c r="T62" s="1202"/>
      <c r="U62" s="1203"/>
      <c r="V62" s="1199"/>
      <c r="W62" s="1204"/>
      <c r="Y62" s="1199"/>
      <c r="Z62" s="1199"/>
      <c r="AA62" s="1199"/>
      <c r="AB62" s="1205"/>
      <c r="AC62" s="1199"/>
    </row>
    <row r="63" spans="1:10" s="1168" customFormat="1" ht="20.1" customHeight="1">
      <c r="A63" s="1206"/>
      <c r="B63" s="1208" t="s">
        <v>2616</v>
      </c>
      <c r="D63" s="1209">
        <v>0</v>
      </c>
      <c r="E63" s="1210"/>
      <c r="F63" s="1211" t="str">
        <f>IF(D63*(100-E63)/100,D63*(100-E63)/100,"")</f>
        <v/>
      </c>
      <c r="G63" s="1211">
        <v>11</v>
      </c>
      <c r="H63" s="1211">
        <f aca="true" t="shared" si="6" ref="H63:H67">D63*G63</f>
        <v>0</v>
      </c>
      <c r="I63" s="1223"/>
      <c r="J63" s="1213">
        <f t="shared" si="1"/>
        <v>0</v>
      </c>
    </row>
    <row r="64" spans="1:10" s="1214" customFormat="1" ht="20.1" customHeight="1">
      <c r="A64" s="1206"/>
      <c r="B64" s="1208" t="s">
        <v>2617</v>
      </c>
      <c r="D64" s="1209">
        <v>0</v>
      </c>
      <c r="E64" s="1210"/>
      <c r="F64" s="1211" t="str">
        <f>IF(D64*(100-E64)/100,D64*(100-E64)/100,"")</f>
        <v/>
      </c>
      <c r="G64" s="1211">
        <v>1</v>
      </c>
      <c r="H64" s="1211">
        <f t="shared" si="6"/>
        <v>0</v>
      </c>
      <c r="I64" s="1215"/>
      <c r="J64" s="1216"/>
    </row>
    <row r="65" spans="1:10" s="1168" customFormat="1" ht="20.1" customHeight="1">
      <c r="A65" s="1206"/>
      <c r="B65" s="1208" t="s">
        <v>2618</v>
      </c>
      <c r="D65" s="1209">
        <v>0</v>
      </c>
      <c r="E65" s="1210"/>
      <c r="F65" s="1211" t="str">
        <f>IF(D65*(100-E65)/100,D65*(100-E65)/100,"")</f>
        <v/>
      </c>
      <c r="G65" s="1211">
        <v>4100</v>
      </c>
      <c r="H65" s="1211">
        <f t="shared" si="6"/>
        <v>0</v>
      </c>
      <c r="I65" s="1223"/>
      <c r="J65" s="1213">
        <f t="shared" si="1"/>
        <v>0</v>
      </c>
    </row>
    <row r="66" spans="1:10" s="1214" customFormat="1" ht="20.1" customHeight="1">
      <c r="A66" s="1206"/>
      <c r="B66" s="1208" t="s">
        <v>2619</v>
      </c>
      <c r="D66" s="1209">
        <v>0</v>
      </c>
      <c r="E66" s="1210"/>
      <c r="F66" s="1211" t="str">
        <f>IF(D66*(100-E66)/100,D66*(100-E66)/100,"")</f>
        <v/>
      </c>
      <c r="G66" s="1211">
        <v>200</v>
      </c>
      <c r="H66" s="1211">
        <f t="shared" si="6"/>
        <v>0</v>
      </c>
      <c r="I66" s="1215"/>
      <c r="J66" s="1216"/>
    </row>
    <row r="67" spans="1:10" s="1168" customFormat="1" ht="20.1" customHeight="1">
      <c r="A67" s="1206"/>
      <c r="B67" s="1207" t="s">
        <v>2620</v>
      </c>
      <c r="C67" s="1208" t="s">
        <v>2621</v>
      </c>
      <c r="D67" s="1209">
        <v>0</v>
      </c>
      <c r="E67" s="1210"/>
      <c r="F67" s="1211" t="str">
        <f>IF(D67*(100-E67)/100,D67*(100-E67)/100,"")</f>
        <v/>
      </c>
      <c r="G67" s="1211">
        <v>2500</v>
      </c>
      <c r="H67" s="1211">
        <f t="shared" si="6"/>
        <v>0</v>
      </c>
      <c r="I67" s="1223"/>
      <c r="J67" s="1213">
        <f t="shared" si="1"/>
        <v>0</v>
      </c>
    </row>
    <row r="68" spans="1:10" s="1214" customFormat="1" ht="20.1" customHeight="1">
      <c r="A68" s="1206"/>
      <c r="B68" s="1207" t="s">
        <v>2622</v>
      </c>
      <c r="C68" s="1208"/>
      <c r="D68" s="1209">
        <v>0</v>
      </c>
      <c r="E68" s="1210"/>
      <c r="F68" s="1211">
        <v>0</v>
      </c>
      <c r="G68" s="1211">
        <v>50</v>
      </c>
      <c r="H68" s="1211" t="str">
        <f aca="true" t="shared" si="7" ref="H68">IF(F68*G68,F68*G68,"")</f>
        <v/>
      </c>
      <c r="I68" s="1215"/>
      <c r="J68" s="1216"/>
    </row>
    <row r="69" spans="1:29" s="1168" customFormat="1" ht="20.1" customHeight="1" thickBot="1">
      <c r="A69" s="1206"/>
      <c r="B69" s="1224"/>
      <c r="C69" s="1225"/>
      <c r="D69" s="1218"/>
      <c r="E69" s="1222"/>
      <c r="F69" s="1226"/>
      <c r="G69" s="1226"/>
      <c r="H69" s="1226"/>
      <c r="I69" s="1197"/>
      <c r="J69" s="1213">
        <f t="shared" si="1"/>
        <v>0</v>
      </c>
      <c r="L69" s="1198"/>
      <c r="M69" s="1198"/>
      <c r="N69" s="1199"/>
      <c r="O69" s="1200"/>
      <c r="P69" s="1201"/>
      <c r="Q69" s="1201"/>
      <c r="R69" s="1199"/>
      <c r="S69" s="1199"/>
      <c r="T69" s="1202"/>
      <c r="U69" s="1203"/>
      <c r="V69" s="1199"/>
      <c r="W69" s="1204"/>
      <c r="Y69" s="1199"/>
      <c r="Z69" s="1199"/>
      <c r="AA69" s="1199"/>
      <c r="AB69" s="1205"/>
      <c r="AC69" s="1199"/>
    </row>
    <row r="70" spans="1:10" s="1168" customFormat="1" ht="46.5" customHeight="1" thickBot="1">
      <c r="A70" s="1206"/>
      <c r="B70" s="1721" t="s">
        <v>2623</v>
      </c>
      <c r="C70" s="1722"/>
      <c r="D70" s="1722"/>
      <c r="E70" s="1722"/>
      <c r="F70" s="1722"/>
      <c r="G70" s="1722"/>
      <c r="H70" s="1723"/>
      <c r="I70" s="1212"/>
      <c r="J70" s="1213">
        <f t="shared" si="1"/>
        <v>0</v>
      </c>
    </row>
    <row r="71" spans="1:29" s="1168" customFormat="1" ht="20.1" customHeight="1">
      <c r="A71" s="1206"/>
      <c r="B71" s="1224"/>
      <c r="C71" s="1225"/>
      <c r="D71" s="1218"/>
      <c r="E71" s="1222"/>
      <c r="F71" s="1226"/>
      <c r="G71" s="1226"/>
      <c r="H71" s="1226"/>
      <c r="I71" s="1197"/>
      <c r="J71" s="1213">
        <f t="shared" si="1"/>
        <v>0</v>
      </c>
      <c r="L71" s="1198"/>
      <c r="M71" s="1198"/>
      <c r="N71" s="1199"/>
      <c r="O71" s="1200"/>
      <c r="P71" s="1201"/>
      <c r="Q71" s="1201"/>
      <c r="R71" s="1199"/>
      <c r="S71" s="1199"/>
      <c r="T71" s="1202"/>
      <c r="U71" s="1203"/>
      <c r="V71" s="1199"/>
      <c r="W71" s="1204"/>
      <c r="Y71" s="1199"/>
      <c r="Z71" s="1199"/>
      <c r="AA71" s="1199"/>
      <c r="AB71" s="1205"/>
      <c r="AC71" s="1199"/>
    </row>
    <row r="72" spans="1:10" s="1168" customFormat="1" ht="20.1" customHeight="1">
      <c r="A72" s="1206"/>
      <c r="B72" s="1207" t="s">
        <v>2624</v>
      </c>
      <c r="C72" s="1208" t="s">
        <v>2625</v>
      </c>
      <c r="D72" s="1209">
        <v>0</v>
      </c>
      <c r="E72" s="1210"/>
      <c r="F72" s="1211" t="str">
        <f>IF(D72*(100-E72)/100,D72*(100-E72)/100,"")</f>
        <v/>
      </c>
      <c r="G72" s="1211">
        <v>3000</v>
      </c>
      <c r="H72" s="1211">
        <f>D72*G72</f>
        <v>0</v>
      </c>
      <c r="I72" s="1223"/>
      <c r="J72" s="1213">
        <f t="shared" si="1"/>
        <v>0</v>
      </c>
    </row>
    <row r="73" spans="1:10" s="1168" customFormat="1" ht="20.1" customHeight="1">
      <c r="A73" s="1206"/>
      <c r="B73" s="1207" t="s">
        <v>2626</v>
      </c>
      <c r="C73" s="1208"/>
      <c r="D73" s="1209"/>
      <c r="E73" s="1210"/>
      <c r="F73" s="1211"/>
      <c r="G73" s="1231" t="s">
        <v>181</v>
      </c>
      <c r="H73" s="1211">
        <f>H72*0.3</f>
        <v>0</v>
      </c>
      <c r="I73" s="1223"/>
      <c r="J73" s="1213"/>
    </row>
    <row r="74" spans="1:10" s="1168" customFormat="1" ht="20.1" customHeight="1">
      <c r="A74" s="1206"/>
      <c r="B74" s="1207" t="s">
        <v>2627</v>
      </c>
      <c r="C74" s="1208" t="s">
        <v>2625</v>
      </c>
      <c r="D74" s="1209">
        <v>0</v>
      </c>
      <c r="E74" s="1210"/>
      <c r="F74" s="1211" t="str">
        <f>IF(D74*(100-E74)/100,D74*(100-E74)/100,"")</f>
        <v/>
      </c>
      <c r="G74" s="1211">
        <v>850</v>
      </c>
      <c r="H74" s="1211">
        <f>D74*G74</f>
        <v>0</v>
      </c>
      <c r="I74" s="1223"/>
      <c r="J74" s="1213">
        <f t="shared" si="1"/>
        <v>0</v>
      </c>
    </row>
    <row r="75" spans="1:10" s="1168" customFormat="1" ht="20.1" customHeight="1">
      <c r="A75" s="1206"/>
      <c r="B75" s="1207" t="s">
        <v>2628</v>
      </c>
      <c r="C75" s="1208"/>
      <c r="D75" s="1209"/>
      <c r="E75" s="1210"/>
      <c r="F75" s="1211"/>
      <c r="G75" s="1231" t="s">
        <v>181</v>
      </c>
      <c r="H75" s="1211">
        <f>H74*0.3</f>
        <v>0</v>
      </c>
      <c r="I75" s="1223"/>
      <c r="J75" s="1213"/>
    </row>
    <row r="76" spans="1:10" s="1168" customFormat="1" ht="20.1" customHeight="1">
      <c r="A76" s="1206"/>
      <c r="B76" s="1207" t="s">
        <v>2629</v>
      </c>
      <c r="C76" s="1208" t="s">
        <v>2625</v>
      </c>
      <c r="D76" s="1209">
        <v>0</v>
      </c>
      <c r="E76" s="1210"/>
      <c r="F76" s="1211" t="str">
        <f>IF(D76*(100-E76)/100,D76*(100-E76)/100,"")</f>
        <v/>
      </c>
      <c r="G76" s="1211">
        <v>140</v>
      </c>
      <c r="H76" s="1211">
        <f>D76*G76</f>
        <v>0</v>
      </c>
      <c r="I76" s="1223"/>
      <c r="J76" s="1213">
        <f t="shared" si="1"/>
        <v>0</v>
      </c>
    </row>
    <row r="77" spans="1:10" s="1168" customFormat="1" ht="20.1" customHeight="1">
      <c r="A77" s="1206"/>
      <c r="B77" s="1207" t="s">
        <v>2630</v>
      </c>
      <c r="C77" s="1208"/>
      <c r="D77" s="1209"/>
      <c r="E77" s="1210"/>
      <c r="F77" s="1211"/>
      <c r="G77" s="1231" t="s">
        <v>181</v>
      </c>
      <c r="H77" s="1211">
        <f>H76*0.3</f>
        <v>0</v>
      </c>
      <c r="I77" s="1223"/>
      <c r="J77" s="1213"/>
    </row>
    <row r="78" spans="1:10" s="1168" customFormat="1" ht="20.1" customHeight="1">
      <c r="A78" s="1206"/>
      <c r="B78" s="1207" t="s">
        <v>2631</v>
      </c>
      <c r="C78" s="1208" t="s">
        <v>2625</v>
      </c>
      <c r="D78" s="1209">
        <v>0</v>
      </c>
      <c r="E78" s="1210"/>
      <c r="F78" s="1211" t="str">
        <f>IF(D78*(100-E78)/100,D78*(100-E78)/100,"")</f>
        <v/>
      </c>
      <c r="G78" s="1211">
        <v>450</v>
      </c>
      <c r="H78" s="1211">
        <f>D78*G78</f>
        <v>0</v>
      </c>
      <c r="I78" s="1223"/>
      <c r="J78" s="1213">
        <f t="shared" si="1"/>
        <v>0</v>
      </c>
    </row>
    <row r="79" spans="1:10" s="1168" customFormat="1" ht="20.1" customHeight="1">
      <c r="A79" s="1206"/>
      <c r="B79" s="1207" t="s">
        <v>2632</v>
      </c>
      <c r="C79" s="1208"/>
      <c r="D79" s="1209"/>
      <c r="E79" s="1210"/>
      <c r="F79" s="1211"/>
      <c r="G79" s="1231" t="s">
        <v>181</v>
      </c>
      <c r="H79" s="1211">
        <f>H78*0.3</f>
        <v>0</v>
      </c>
      <c r="I79" s="1223"/>
      <c r="J79" s="1213" t="e">
        <f t="shared" si="1"/>
        <v>#VALUE!</v>
      </c>
    </row>
    <row r="80" spans="1:10" s="1168" customFormat="1" ht="20.1" customHeight="1">
      <c r="A80" s="1206"/>
      <c r="B80" s="1207" t="s">
        <v>2633</v>
      </c>
      <c r="C80" s="1208" t="s">
        <v>2625</v>
      </c>
      <c r="D80" s="1209">
        <v>0</v>
      </c>
      <c r="E80" s="1210"/>
      <c r="F80" s="1211" t="str">
        <f>IF(D80*(100-E80)/100,D80*(100-E80)/100,"")</f>
        <v/>
      </c>
      <c r="G80" s="1211">
        <v>350</v>
      </c>
      <c r="H80" s="1211">
        <f>D80*G80</f>
        <v>0</v>
      </c>
      <c r="I80" s="1223"/>
      <c r="J80" s="1213">
        <f>D80*G80</f>
        <v>0</v>
      </c>
    </row>
    <row r="81" spans="1:10" s="1168" customFormat="1" ht="20.1" customHeight="1">
      <c r="A81" s="1206"/>
      <c r="B81" s="1207" t="s">
        <v>2634</v>
      </c>
      <c r="C81" s="1208"/>
      <c r="D81" s="1209"/>
      <c r="E81" s="1210"/>
      <c r="F81" s="1211"/>
      <c r="G81" s="1231" t="s">
        <v>181</v>
      </c>
      <c r="H81" s="1211">
        <f>H80*0.2</f>
        <v>0</v>
      </c>
      <c r="I81" s="1223"/>
      <c r="J81" s="1213"/>
    </row>
    <row r="82" spans="1:10" s="1168" customFormat="1" ht="20.1" customHeight="1">
      <c r="A82" s="1206"/>
      <c r="B82" s="1207"/>
      <c r="C82" s="1208"/>
      <c r="D82" s="1209"/>
      <c r="E82" s="1210"/>
      <c r="F82" s="1211"/>
      <c r="G82" s="1211"/>
      <c r="H82" s="1211"/>
      <c r="I82" s="1223"/>
      <c r="J82" s="1213"/>
    </row>
    <row r="83" spans="1:10" s="1168" customFormat="1" ht="20.1" customHeight="1">
      <c r="A83" s="1206"/>
      <c r="B83" s="1207"/>
      <c r="C83" s="1208" t="s">
        <v>2635</v>
      </c>
      <c r="D83" s="1209">
        <v>0</v>
      </c>
      <c r="E83" s="1210"/>
      <c r="F83" s="1211" t="str">
        <f>IF(D83*(100-E83)/100,D83*(100-E83)/100,"")</f>
        <v/>
      </c>
      <c r="G83" s="1211">
        <v>51</v>
      </c>
      <c r="H83" s="1211">
        <f>D83*G83</f>
        <v>0</v>
      </c>
      <c r="I83" s="1223"/>
      <c r="J83" s="1213">
        <f t="shared" si="1"/>
        <v>0</v>
      </c>
    </row>
    <row r="84" spans="1:10" s="1214" customFormat="1" ht="20.1" customHeight="1">
      <c r="A84" s="1206"/>
      <c r="B84" s="1207" t="s">
        <v>2636</v>
      </c>
      <c r="C84" s="1208"/>
      <c r="D84" s="1209">
        <v>0</v>
      </c>
      <c r="E84" s="1210"/>
      <c r="F84" s="1211">
        <v>0</v>
      </c>
      <c r="G84" s="1211">
        <v>7</v>
      </c>
      <c r="H84" s="1211" t="str">
        <f>IF(F84*G84,F84*G84,"")</f>
        <v/>
      </c>
      <c r="I84" s="1215"/>
      <c r="J84" s="1216"/>
    </row>
    <row r="85" spans="1:10" s="1214" customFormat="1" ht="20.1" customHeight="1">
      <c r="A85" s="1206"/>
      <c r="B85" s="1207" t="s">
        <v>2732</v>
      </c>
      <c r="C85" s="1208"/>
      <c r="D85" s="1209">
        <v>0</v>
      </c>
      <c r="E85" s="1210"/>
      <c r="F85" s="1211">
        <v>0</v>
      </c>
      <c r="G85" s="1211">
        <v>200</v>
      </c>
      <c r="H85" s="1211" t="str">
        <f>IF(F85*G85,F85*G85,"")</f>
        <v/>
      </c>
      <c r="I85" s="1215"/>
      <c r="J85" s="1216"/>
    </row>
    <row r="86" spans="1:10" s="1214" customFormat="1" ht="20.1" customHeight="1">
      <c r="A86" s="1206"/>
      <c r="B86" s="1207" t="s">
        <v>2733</v>
      </c>
      <c r="C86" s="1208"/>
      <c r="D86" s="1209">
        <v>0</v>
      </c>
      <c r="E86" s="1210"/>
      <c r="F86" s="1211">
        <v>0</v>
      </c>
      <c r="G86" s="1211">
        <v>200</v>
      </c>
      <c r="H86" s="1211" t="str">
        <f>IF(F86*G86,F86*G86,"")</f>
        <v/>
      </c>
      <c r="I86" s="1215"/>
      <c r="J86" s="1216"/>
    </row>
    <row r="87" spans="1:10" s="1214" customFormat="1" ht="20.1" customHeight="1">
      <c r="A87" s="1206"/>
      <c r="B87" s="1207" t="s">
        <v>2734</v>
      </c>
      <c r="C87" s="1208"/>
      <c r="D87" s="1209">
        <v>0</v>
      </c>
      <c r="E87" s="1210"/>
      <c r="F87" s="1211">
        <v>0</v>
      </c>
      <c r="G87" s="1211">
        <v>400</v>
      </c>
      <c r="H87" s="1211" t="str">
        <f>IF(F87*G87,F87*G87,"")</f>
        <v/>
      </c>
      <c r="I87" s="1215"/>
      <c r="J87" s="1216"/>
    </row>
    <row r="88" spans="1:10" s="1168" customFormat="1" ht="20.1" customHeight="1" thickBot="1">
      <c r="A88" s="1206"/>
      <c r="B88" s="1221"/>
      <c r="C88" s="1217"/>
      <c r="D88" s="1218"/>
      <c r="E88" s="1222"/>
      <c r="F88" s="1219"/>
      <c r="G88" s="1226"/>
      <c r="H88" s="1226"/>
      <c r="I88" s="1212"/>
      <c r="J88" s="1213">
        <f aca="true" t="shared" si="8" ref="J88:J114">D88*G88</f>
        <v>0</v>
      </c>
    </row>
    <row r="89" spans="1:10" s="1168" customFormat="1" ht="46.5" customHeight="1" thickBot="1">
      <c r="A89" s="1206"/>
      <c r="B89" s="1721" t="s">
        <v>2637</v>
      </c>
      <c r="C89" s="1722"/>
      <c r="D89" s="1722"/>
      <c r="E89" s="1722"/>
      <c r="F89" s="1722"/>
      <c r="G89" s="1722"/>
      <c r="H89" s="1723"/>
      <c r="I89" s="1212"/>
      <c r="J89" s="1213">
        <f t="shared" si="8"/>
        <v>0</v>
      </c>
    </row>
    <row r="90" spans="1:10" s="1168" customFormat="1" ht="19.5" customHeight="1">
      <c r="A90" s="1206"/>
      <c r="B90" s="1221"/>
      <c r="C90" s="1217"/>
      <c r="D90" s="1218"/>
      <c r="E90" s="1222"/>
      <c r="F90" s="1219"/>
      <c r="G90" s="1226"/>
      <c r="H90" s="1226"/>
      <c r="I90" s="1212"/>
      <c r="J90" s="1213">
        <f t="shared" si="8"/>
        <v>0</v>
      </c>
    </row>
    <row r="91" spans="1:10" s="1168" customFormat="1" ht="20.1" customHeight="1">
      <c r="A91" s="1206"/>
      <c r="B91" s="1207" t="s">
        <v>2638</v>
      </c>
      <c r="C91" s="1208" t="s">
        <v>2639</v>
      </c>
      <c r="D91" s="1209">
        <v>0</v>
      </c>
      <c r="E91" s="1210"/>
      <c r="F91" s="1211" t="str">
        <f>IF(D91*(100-E91)/100,D91*(100-E91)/100,"")</f>
        <v/>
      </c>
      <c r="G91" s="1211">
        <v>1</v>
      </c>
      <c r="H91" s="1211">
        <f>D91*G91</f>
        <v>0</v>
      </c>
      <c r="I91" s="1223"/>
      <c r="J91" s="1213">
        <f t="shared" si="8"/>
        <v>0</v>
      </c>
    </row>
    <row r="92" spans="1:10" s="1168" customFormat="1" ht="20.1" customHeight="1">
      <c r="A92" s="1206"/>
      <c r="B92" s="1207" t="s">
        <v>2640</v>
      </c>
      <c r="C92" s="1208" t="s">
        <v>2641</v>
      </c>
      <c r="D92" s="1209">
        <v>0</v>
      </c>
      <c r="E92" s="1210"/>
      <c r="F92" s="1211" t="str">
        <f>IF(D92*(100-E92)/100,D92*(100-E92)/100,"")</f>
        <v/>
      </c>
      <c r="G92" s="1211">
        <v>1</v>
      </c>
      <c r="H92" s="1211">
        <f>D92*G92</f>
        <v>0</v>
      </c>
      <c r="I92" s="1223"/>
      <c r="J92" s="1213"/>
    </row>
    <row r="93" spans="1:10" s="1168" customFormat="1" ht="20.1" customHeight="1">
      <c r="A93" s="1206"/>
      <c r="B93" s="1207" t="s">
        <v>2642</v>
      </c>
      <c r="C93" s="1208"/>
      <c r="D93" s="1209">
        <v>0</v>
      </c>
      <c r="E93" s="1210"/>
      <c r="F93" s="1211" t="str">
        <f>IF(D93*(100-E93)/100,D93*(100-E93)/100,"")</f>
        <v/>
      </c>
      <c r="G93" s="1211">
        <v>1</v>
      </c>
      <c r="H93" s="1211">
        <f aca="true" t="shared" si="9" ref="H93:H95">D93*G93</f>
        <v>0</v>
      </c>
      <c r="I93" s="1223"/>
      <c r="J93" s="1213"/>
    </row>
    <row r="94" spans="1:10" s="1168" customFormat="1" ht="20.1" customHeight="1">
      <c r="A94" s="1206"/>
      <c r="B94" s="1207" t="s">
        <v>2643</v>
      </c>
      <c r="C94" s="1208" t="s">
        <v>2644</v>
      </c>
      <c r="D94" s="1209">
        <v>0</v>
      </c>
      <c r="E94" s="1210"/>
      <c r="F94" s="1211" t="str">
        <f>IF(D94*(100-E94)/100,D94*(100-E94)/100,"")</f>
        <v/>
      </c>
      <c r="G94" s="1211">
        <v>1</v>
      </c>
      <c r="H94" s="1211">
        <f t="shared" si="9"/>
        <v>0</v>
      </c>
      <c r="I94" s="1223"/>
      <c r="J94" s="1213"/>
    </row>
    <row r="95" spans="1:10" s="1168" customFormat="1" ht="20.1" customHeight="1">
      <c r="A95" s="1206"/>
      <c r="B95" s="1207" t="s">
        <v>2645</v>
      </c>
      <c r="C95" s="1208" t="s">
        <v>2646</v>
      </c>
      <c r="D95" s="1209">
        <v>0</v>
      </c>
      <c r="E95" s="1210"/>
      <c r="F95" s="1211" t="str">
        <f>IF(D95*(100-E95)/100,D95*(100-E95)/100,"")</f>
        <v/>
      </c>
      <c r="G95" s="1211">
        <v>2</v>
      </c>
      <c r="H95" s="1211">
        <f t="shared" si="9"/>
        <v>0</v>
      </c>
      <c r="I95" s="1223"/>
      <c r="J95" s="1213"/>
    </row>
    <row r="96" spans="1:10" s="1168" customFormat="1" ht="20.1" customHeight="1">
      <c r="A96" s="1206"/>
      <c r="B96" s="1207"/>
      <c r="C96" s="1208"/>
      <c r="D96" s="1209"/>
      <c r="E96" s="1210"/>
      <c r="F96" s="1211"/>
      <c r="G96" s="1211"/>
      <c r="H96" s="1211"/>
      <c r="I96" s="1223"/>
      <c r="J96" s="1213">
        <f t="shared" si="8"/>
        <v>0</v>
      </c>
    </row>
    <row r="97" spans="1:10" s="1168" customFormat="1" ht="23.25" customHeight="1">
      <c r="A97" s="1206"/>
      <c r="B97" s="1232" t="s">
        <v>2647</v>
      </c>
      <c r="C97" s="1217"/>
      <c r="D97" s="1218"/>
      <c r="E97" s="1222"/>
      <c r="F97" s="1219"/>
      <c r="G97" s="1226"/>
      <c r="H97" s="1226"/>
      <c r="I97" s="1212"/>
      <c r="J97" s="1213">
        <f t="shared" si="8"/>
        <v>0</v>
      </c>
    </row>
    <row r="98" spans="1:10" s="1168" customFormat="1" ht="20.1" customHeight="1">
      <c r="A98" s="1206"/>
      <c r="B98" s="1207" t="s">
        <v>2648</v>
      </c>
      <c r="C98" s="1208" t="s">
        <v>2649</v>
      </c>
      <c r="D98" s="1209">
        <v>0</v>
      </c>
      <c r="E98" s="1210"/>
      <c r="F98" s="1211" t="str">
        <f aca="true" t="shared" si="10" ref="F98:F113">IF(D98*(100-E98)/100,D98*(100-E98)/100,"")</f>
        <v/>
      </c>
      <c r="G98" s="1211">
        <v>1</v>
      </c>
      <c r="H98" s="1211">
        <f>D98*G98</f>
        <v>0</v>
      </c>
      <c r="I98" s="1223"/>
      <c r="J98" s="1213">
        <f t="shared" si="8"/>
        <v>0</v>
      </c>
    </row>
    <row r="99" spans="1:10" s="1168" customFormat="1" ht="20.1" customHeight="1">
      <c r="A99" s="1206"/>
      <c r="B99" s="1207"/>
      <c r="C99" s="1208" t="s">
        <v>2650</v>
      </c>
      <c r="D99" s="1209"/>
      <c r="E99" s="1210"/>
      <c r="F99" s="1211"/>
      <c r="G99" s="1211"/>
      <c r="H99" s="1211"/>
      <c r="I99" s="1223"/>
      <c r="J99" s="1213"/>
    </row>
    <row r="100" spans="1:10" s="1168" customFormat="1" ht="20.1" customHeight="1">
      <c r="A100" s="1206"/>
      <c r="B100" s="1207" t="s">
        <v>2651</v>
      </c>
      <c r="C100" s="1208" t="s">
        <v>2652</v>
      </c>
      <c r="D100" s="1209">
        <v>0</v>
      </c>
      <c r="E100" s="1210"/>
      <c r="F100" s="1211" t="str">
        <f>IF(D100*(100-E100)/100,D100*(100-E100)/100,"")</f>
        <v/>
      </c>
      <c r="G100" s="1211">
        <v>1</v>
      </c>
      <c r="H100" s="1211">
        <f aca="true" t="shared" si="11" ref="H100:H113">D100*G100</f>
        <v>0</v>
      </c>
      <c r="I100" s="1223"/>
      <c r="J100" s="1213"/>
    </row>
    <row r="101" spans="1:10" s="1168" customFormat="1" ht="20.1" customHeight="1">
      <c r="A101" s="1206"/>
      <c r="B101" s="1207" t="s">
        <v>2653</v>
      </c>
      <c r="C101" s="1208"/>
      <c r="D101" s="1209">
        <v>0</v>
      </c>
      <c r="E101" s="1210"/>
      <c r="F101" s="1211" t="str">
        <f>IF(D101*(100-E101)/100,D101*(100-E101)/100,"")</f>
        <v/>
      </c>
      <c r="G101" s="1211">
        <v>2</v>
      </c>
      <c r="H101" s="1211">
        <f t="shared" si="11"/>
        <v>0</v>
      </c>
      <c r="I101" s="1223"/>
      <c r="J101" s="1213"/>
    </row>
    <row r="102" spans="1:10" s="1168" customFormat="1" ht="20.1" customHeight="1">
      <c r="A102" s="1206"/>
      <c r="B102" s="1207" t="s">
        <v>2654</v>
      </c>
      <c r="C102" s="1208"/>
      <c r="D102" s="1209">
        <v>0</v>
      </c>
      <c r="E102" s="1210"/>
      <c r="F102" s="1211" t="str">
        <f>IF(D102*(100-E102)/100,D102*(100-E102)/100,"")</f>
        <v/>
      </c>
      <c r="G102" s="1211">
        <v>2</v>
      </c>
      <c r="H102" s="1211">
        <f t="shared" si="11"/>
        <v>0</v>
      </c>
      <c r="I102" s="1223"/>
      <c r="J102" s="1213"/>
    </row>
    <row r="103" spans="1:10" s="1168" customFormat="1" ht="20.1" customHeight="1">
      <c r="A103" s="1206"/>
      <c r="B103" s="1207" t="s">
        <v>2655</v>
      </c>
      <c r="C103" s="1208"/>
      <c r="D103" s="1209">
        <v>0</v>
      </c>
      <c r="E103" s="1210"/>
      <c r="F103" s="1211" t="str">
        <f>IF(D103*(100-E103)/100,D103*(100-E103)/100,"")</f>
        <v/>
      </c>
      <c r="G103" s="1211">
        <v>1</v>
      </c>
      <c r="H103" s="1211">
        <f t="shared" si="11"/>
        <v>0</v>
      </c>
      <c r="I103" s="1223"/>
      <c r="J103" s="1213"/>
    </row>
    <row r="104" spans="1:10" s="1168" customFormat="1" ht="20.1" customHeight="1">
      <c r="A104" s="1206"/>
      <c r="B104" s="1207" t="s">
        <v>2656</v>
      </c>
      <c r="C104" s="1208" t="s">
        <v>2657</v>
      </c>
      <c r="D104" s="1209">
        <v>0</v>
      </c>
      <c r="E104" s="1210"/>
      <c r="F104" s="1211" t="str">
        <f>IF(D104*(100-E104)/100,D104*(100-E104)/100,"")</f>
        <v/>
      </c>
      <c r="G104" s="1211">
        <v>1</v>
      </c>
      <c r="H104" s="1211">
        <f t="shared" si="11"/>
        <v>0</v>
      </c>
      <c r="I104" s="1223"/>
      <c r="J104" s="1213"/>
    </row>
    <row r="105" spans="1:10" s="1168" customFormat="1" ht="20.1" customHeight="1">
      <c r="A105" s="1206"/>
      <c r="B105" s="1207" t="s">
        <v>2658</v>
      </c>
      <c r="C105" s="1208" t="s">
        <v>2659</v>
      </c>
      <c r="D105" s="1209">
        <v>0</v>
      </c>
      <c r="E105" s="1210"/>
      <c r="F105" s="1211" t="str">
        <f t="shared" si="10"/>
        <v/>
      </c>
      <c r="G105" s="1211">
        <v>1</v>
      </c>
      <c r="H105" s="1211">
        <f t="shared" si="11"/>
        <v>0</v>
      </c>
      <c r="I105" s="1223"/>
      <c r="J105" s="1213">
        <f t="shared" si="8"/>
        <v>0</v>
      </c>
    </row>
    <row r="106" spans="1:10" s="1168" customFormat="1" ht="20.1" customHeight="1">
      <c r="A106" s="1206"/>
      <c r="B106" s="1207" t="s">
        <v>2660</v>
      </c>
      <c r="C106" s="1208" t="s">
        <v>2661</v>
      </c>
      <c r="D106" s="1209">
        <v>0</v>
      </c>
      <c r="E106" s="1210"/>
      <c r="F106" s="1211" t="str">
        <f t="shared" si="10"/>
        <v/>
      </c>
      <c r="G106" s="1211">
        <v>1</v>
      </c>
      <c r="H106" s="1211">
        <f t="shared" si="11"/>
        <v>0</v>
      </c>
      <c r="I106" s="1223"/>
      <c r="J106" s="1213">
        <f t="shared" si="8"/>
        <v>0</v>
      </c>
    </row>
    <row r="107" spans="1:10" s="1168" customFormat="1" ht="20.1" customHeight="1">
      <c r="A107" s="1206"/>
      <c r="B107" s="1207" t="s">
        <v>2662</v>
      </c>
      <c r="C107" s="1208"/>
      <c r="D107" s="1209">
        <v>0</v>
      </c>
      <c r="E107" s="1210"/>
      <c r="F107" s="1211" t="str">
        <f t="shared" si="10"/>
        <v/>
      </c>
      <c r="G107" s="1211">
        <v>1</v>
      </c>
      <c r="H107" s="1211">
        <f t="shared" si="11"/>
        <v>0</v>
      </c>
      <c r="I107" s="1223"/>
      <c r="J107" s="1213">
        <f t="shared" si="8"/>
        <v>0</v>
      </c>
    </row>
    <row r="108" spans="1:10" s="1168" customFormat="1" ht="20.1" customHeight="1">
      <c r="A108" s="1206"/>
      <c r="B108" s="1207" t="s">
        <v>2663</v>
      </c>
      <c r="C108" s="1208"/>
      <c r="D108" s="1209">
        <v>0</v>
      </c>
      <c r="E108" s="1210"/>
      <c r="F108" s="1211" t="str">
        <f t="shared" si="10"/>
        <v/>
      </c>
      <c r="G108" s="1211">
        <v>1</v>
      </c>
      <c r="H108" s="1211">
        <f t="shared" si="11"/>
        <v>0</v>
      </c>
      <c r="I108" s="1223"/>
      <c r="J108" s="1213">
        <f t="shared" si="8"/>
        <v>0</v>
      </c>
    </row>
    <row r="109" spans="1:10" s="1168" customFormat="1" ht="20.1" customHeight="1">
      <c r="A109" s="1206"/>
      <c r="B109" s="1207" t="s">
        <v>2664</v>
      </c>
      <c r="C109" s="1208"/>
      <c r="D109" s="1209">
        <v>0</v>
      </c>
      <c r="E109" s="1210"/>
      <c r="F109" s="1211" t="str">
        <f t="shared" si="10"/>
        <v/>
      </c>
      <c r="G109" s="1211">
        <v>1</v>
      </c>
      <c r="H109" s="1211">
        <f t="shared" si="11"/>
        <v>0</v>
      </c>
      <c r="I109" s="1223"/>
      <c r="J109" s="1213">
        <f t="shared" si="8"/>
        <v>0</v>
      </c>
    </row>
    <row r="110" spans="1:10" s="1168" customFormat="1" ht="20.1" customHeight="1">
      <c r="A110" s="1206"/>
      <c r="B110" s="1207" t="s">
        <v>2665</v>
      </c>
      <c r="C110" s="1208"/>
      <c r="D110" s="1209">
        <v>0</v>
      </c>
      <c r="E110" s="1210"/>
      <c r="F110" s="1211" t="str">
        <f t="shared" si="10"/>
        <v/>
      </c>
      <c r="G110" s="1211">
        <v>2</v>
      </c>
      <c r="H110" s="1211">
        <f t="shared" si="11"/>
        <v>0</v>
      </c>
      <c r="I110" s="1223"/>
      <c r="J110" s="1213">
        <f t="shared" si="8"/>
        <v>0</v>
      </c>
    </row>
    <row r="111" spans="1:10" s="1168" customFormat="1" ht="20.1" customHeight="1">
      <c r="A111" s="1206"/>
      <c r="B111" s="1207" t="s">
        <v>2666</v>
      </c>
      <c r="C111" s="1208"/>
      <c r="D111" s="1209">
        <v>0</v>
      </c>
      <c r="E111" s="1210"/>
      <c r="F111" s="1211" t="str">
        <f t="shared" si="10"/>
        <v/>
      </c>
      <c r="G111" s="1211">
        <v>2</v>
      </c>
      <c r="H111" s="1211">
        <f t="shared" si="11"/>
        <v>0</v>
      </c>
      <c r="I111" s="1223"/>
      <c r="J111" s="1213">
        <f t="shared" si="8"/>
        <v>0</v>
      </c>
    </row>
    <row r="112" spans="1:10" s="1168" customFormat="1" ht="20.1" customHeight="1">
      <c r="A112" s="1206"/>
      <c r="B112" s="1207" t="s">
        <v>2667</v>
      </c>
      <c r="C112" s="1208"/>
      <c r="D112" s="1209">
        <v>0</v>
      </c>
      <c r="E112" s="1210"/>
      <c r="F112" s="1211" t="str">
        <f t="shared" si="10"/>
        <v/>
      </c>
      <c r="G112" s="1211">
        <v>1</v>
      </c>
      <c r="H112" s="1211">
        <f t="shared" si="11"/>
        <v>0</v>
      </c>
      <c r="I112" s="1223"/>
      <c r="J112" s="1213">
        <f t="shared" si="8"/>
        <v>0</v>
      </c>
    </row>
    <row r="113" spans="1:10" s="1168" customFormat="1" ht="20.1" customHeight="1">
      <c r="A113" s="1206"/>
      <c r="B113" s="1207" t="s">
        <v>2668</v>
      </c>
      <c r="C113" s="1208" t="s">
        <v>2669</v>
      </c>
      <c r="D113" s="1209">
        <v>0</v>
      </c>
      <c r="E113" s="1210"/>
      <c r="F113" s="1211" t="str">
        <f t="shared" si="10"/>
        <v/>
      </c>
      <c r="G113" s="1211">
        <v>2</v>
      </c>
      <c r="H113" s="1211">
        <f t="shared" si="11"/>
        <v>0</v>
      </c>
      <c r="I113" s="1223"/>
      <c r="J113" s="1213">
        <f t="shared" si="8"/>
        <v>0</v>
      </c>
    </row>
    <row r="114" spans="1:10" s="1168" customFormat="1" ht="20.1" customHeight="1">
      <c r="A114" s="1206"/>
      <c r="B114" s="1221"/>
      <c r="C114" s="1217"/>
      <c r="D114" s="1218"/>
      <c r="E114" s="1222"/>
      <c r="F114" s="1219"/>
      <c r="G114" s="1226"/>
      <c r="H114" s="1226"/>
      <c r="I114" s="1212"/>
      <c r="J114" s="1213">
        <f t="shared" si="8"/>
        <v>0</v>
      </c>
    </row>
    <row r="115" spans="1:10" s="1168" customFormat="1" ht="20.1" customHeight="1" thickBot="1">
      <c r="A115" s="1206"/>
      <c r="B115" s="1224"/>
      <c r="C115" s="1225"/>
      <c r="D115" s="1218"/>
      <c r="E115" s="1222"/>
      <c r="F115" s="1226"/>
      <c r="G115" s="1226"/>
      <c r="H115" s="1226"/>
      <c r="I115" s="1212"/>
      <c r="J115" s="1233"/>
    </row>
    <row r="116" spans="1:10" s="1168" customFormat="1" ht="46.5" customHeight="1" thickBot="1">
      <c r="A116" s="1206"/>
      <c r="B116" s="1721" t="s">
        <v>2670</v>
      </c>
      <c r="C116" s="1722"/>
      <c r="D116" s="1722"/>
      <c r="E116" s="1722"/>
      <c r="F116" s="1722"/>
      <c r="G116" s="1722"/>
      <c r="H116" s="1723"/>
      <c r="I116" s="1212"/>
      <c r="J116" s="1233"/>
    </row>
    <row r="117" spans="1:10" s="1168" customFormat="1" ht="20.1" customHeight="1">
      <c r="A117" s="1206"/>
      <c r="B117" s="1224"/>
      <c r="C117" s="1225"/>
      <c r="D117" s="1218"/>
      <c r="E117" s="1222"/>
      <c r="F117" s="1226"/>
      <c r="G117" s="1226"/>
      <c r="H117" s="1226"/>
      <c r="I117" s="1212"/>
      <c r="J117" s="1233"/>
    </row>
    <row r="118" spans="1:10" s="1214" customFormat="1" ht="20.1" customHeight="1">
      <c r="A118" s="1206"/>
      <c r="B118" s="1207" t="s">
        <v>2671</v>
      </c>
      <c r="C118" s="1208" t="s">
        <v>2672</v>
      </c>
      <c r="D118" s="1209">
        <v>0</v>
      </c>
      <c r="E118" s="1210"/>
      <c r="F118" s="1211" t="str">
        <f aca="true" t="shared" si="12" ref="F118:F124">IF(D118*(100-E118)/100,D118*(100-E118)/100,"")</f>
        <v/>
      </c>
      <c r="G118" s="1211">
        <v>3900</v>
      </c>
      <c r="H118" s="1211">
        <f aca="true" t="shared" si="13" ref="H118:H123">D118*G118</f>
        <v>0</v>
      </c>
      <c r="I118" s="1215"/>
      <c r="J118" s="1216"/>
    </row>
    <row r="119" spans="1:10" s="1214" customFormat="1" ht="20.1" customHeight="1">
      <c r="A119" s="1206"/>
      <c r="B119" s="1207" t="s">
        <v>2673</v>
      </c>
      <c r="C119" s="1208"/>
      <c r="D119" s="1209">
        <v>0</v>
      </c>
      <c r="E119" s="1210"/>
      <c r="F119" s="1211" t="str">
        <f t="shared" si="12"/>
        <v/>
      </c>
      <c r="G119" s="1211">
        <v>1</v>
      </c>
      <c r="H119" s="1211">
        <f t="shared" si="13"/>
        <v>0</v>
      </c>
      <c r="I119" s="1215"/>
      <c r="J119" s="1216"/>
    </row>
    <row r="120" spans="1:10" s="1214" customFormat="1" ht="20.1" customHeight="1">
      <c r="A120" s="1206"/>
      <c r="B120" s="1207" t="s">
        <v>2674</v>
      </c>
      <c r="C120" s="1208"/>
      <c r="D120" s="1209">
        <v>0</v>
      </c>
      <c r="E120" s="1210"/>
      <c r="F120" s="1211" t="str">
        <f t="shared" si="12"/>
        <v/>
      </c>
      <c r="G120" s="1211">
        <v>1</v>
      </c>
      <c r="H120" s="1211">
        <f t="shared" si="13"/>
        <v>0</v>
      </c>
      <c r="I120" s="1215"/>
      <c r="J120" s="1216"/>
    </row>
    <row r="121" spans="1:10" s="1214" customFormat="1" ht="20.1" customHeight="1">
      <c r="A121" s="1206"/>
      <c r="B121" s="1207" t="s">
        <v>2675</v>
      </c>
      <c r="C121" s="1208"/>
      <c r="D121" s="1209">
        <v>0</v>
      </c>
      <c r="E121" s="1210"/>
      <c r="F121" s="1211" t="str">
        <f t="shared" si="12"/>
        <v/>
      </c>
      <c r="G121" s="1211">
        <v>1</v>
      </c>
      <c r="H121" s="1211">
        <f t="shared" si="13"/>
        <v>0</v>
      </c>
      <c r="I121" s="1215"/>
      <c r="J121" s="1216"/>
    </row>
    <row r="122" spans="1:10" s="1214" customFormat="1" ht="20.1" customHeight="1">
      <c r="A122" s="1206"/>
      <c r="B122" s="1207" t="s">
        <v>2676</v>
      </c>
      <c r="C122" s="1208"/>
      <c r="D122" s="1209">
        <v>0</v>
      </c>
      <c r="E122" s="1210"/>
      <c r="F122" s="1211" t="str">
        <f t="shared" si="12"/>
        <v/>
      </c>
      <c r="G122" s="1211">
        <v>1</v>
      </c>
      <c r="H122" s="1211">
        <f t="shared" si="13"/>
        <v>0</v>
      </c>
      <c r="I122" s="1215"/>
      <c r="J122" s="1216"/>
    </row>
    <row r="123" spans="1:10" s="1214" customFormat="1" ht="20.1" customHeight="1">
      <c r="A123" s="1206"/>
      <c r="B123" s="1207" t="s">
        <v>2677</v>
      </c>
      <c r="C123" s="1208"/>
      <c r="D123" s="1209">
        <v>0</v>
      </c>
      <c r="E123" s="1210"/>
      <c r="F123" s="1211" t="str">
        <f t="shared" si="12"/>
        <v/>
      </c>
      <c r="G123" s="1211">
        <v>1</v>
      </c>
      <c r="H123" s="1211">
        <f t="shared" si="13"/>
        <v>0</v>
      </c>
      <c r="I123" s="1215"/>
      <c r="J123" s="1216"/>
    </row>
    <row r="124" spans="1:10" s="1214" customFormat="1" ht="20.1" customHeight="1">
      <c r="A124" s="1206"/>
      <c r="B124" s="1207" t="s">
        <v>2678</v>
      </c>
      <c r="C124" s="1208"/>
      <c r="D124" s="1209">
        <v>0</v>
      </c>
      <c r="E124" s="1210"/>
      <c r="F124" s="1211" t="str">
        <f t="shared" si="12"/>
        <v/>
      </c>
      <c r="G124" s="1211">
        <v>1</v>
      </c>
      <c r="H124" s="1211">
        <f>D124*G124</f>
        <v>0</v>
      </c>
      <c r="I124" s="1215"/>
      <c r="J124" s="1216"/>
    </row>
    <row r="125" spans="1:10" s="1214" customFormat="1" ht="20.1" customHeight="1">
      <c r="A125" s="1206"/>
      <c r="B125" s="1207"/>
      <c r="C125" s="1208"/>
      <c r="D125" s="1209"/>
      <c r="E125" s="1210"/>
      <c r="F125" s="1211"/>
      <c r="G125" s="1211"/>
      <c r="H125" s="1211"/>
      <c r="I125" s="1215"/>
      <c r="J125" s="1216"/>
    </row>
    <row r="126" spans="1:10" s="1168" customFormat="1" ht="32.25" customHeight="1">
      <c r="A126" s="1206"/>
      <c r="B126" s="1234" t="s">
        <v>2679</v>
      </c>
      <c r="C126" s="1225"/>
      <c r="D126" s="1218"/>
      <c r="E126" s="1222"/>
      <c r="F126" s="1226"/>
      <c r="G126" s="1226"/>
      <c r="H126" s="1226"/>
      <c r="I126" s="1212"/>
      <c r="J126" s="1233"/>
    </row>
    <row r="127" spans="1:10" s="1168" customFormat="1" ht="32.25" customHeight="1">
      <c r="A127" s="1206"/>
      <c r="B127" s="1235" t="str">
        <f>B17</f>
        <v xml:space="preserve">    OVLÁDACÍ SYSTÉM :</v>
      </c>
      <c r="C127" s="1236"/>
      <c r="D127" s="1237"/>
      <c r="E127" s="1238"/>
      <c r="F127" s="1239"/>
      <c r="G127" s="1239"/>
      <c r="H127" s="1240" t="str">
        <f>IF(SUM(H18:H31),SUM(H18:H31),"")</f>
        <v/>
      </c>
      <c r="I127" s="1212"/>
      <c r="J127" s="1233"/>
    </row>
    <row r="128" spans="1:10" s="1168" customFormat="1" ht="32.25" customHeight="1">
      <c r="A128" s="1206"/>
      <c r="B128" s="1241" t="str">
        <f>B32</f>
        <v xml:space="preserve">    OVLÁDACÍ VENTILY, ŠACHTICE </v>
      </c>
      <c r="C128" s="1242"/>
      <c r="D128" s="1218"/>
      <c r="E128" s="1222"/>
      <c r="F128" s="1226"/>
      <c r="G128" s="1226"/>
      <c r="H128" s="1243" t="str">
        <f>IF(SUM(H34:H44),SUM(H34:H44),"")</f>
        <v/>
      </c>
      <c r="I128" s="1212"/>
      <c r="J128" s="1233"/>
    </row>
    <row r="129" spans="1:10" s="1168" customFormat="1" ht="32.25" customHeight="1">
      <c r="A129" s="1206"/>
      <c r="B129" s="1241" t="str">
        <f>B46</f>
        <v xml:space="preserve">    POSTŘIKOVAČE A PŘÍSLUŠENSTVÍ</v>
      </c>
      <c r="C129" s="1242"/>
      <c r="D129" s="1218"/>
      <c r="E129" s="1222"/>
      <c r="F129" s="1226"/>
      <c r="G129" s="1226"/>
      <c r="H129" s="1243" t="str">
        <f>IF(SUM(H46:H60),SUM(H46:H60),"")</f>
        <v/>
      </c>
      <c r="I129" s="1212"/>
      <c r="J129" s="1233"/>
    </row>
    <row r="130" spans="1:10" s="1168" customFormat="1" ht="32.25" customHeight="1">
      <c r="A130" s="1206"/>
      <c r="B130" s="1241" t="str">
        <f>B61</f>
        <v xml:space="preserve">    MIKROZÁVLAHA A PŘÍSLUŠENSTVÍ</v>
      </c>
      <c r="C130" s="1242"/>
      <c r="D130" s="1218"/>
      <c r="E130" s="1222"/>
      <c r="F130" s="1226"/>
      <c r="G130" s="1226"/>
      <c r="H130" s="1243" t="str">
        <f>IF(SUM(H62:H69),SUM(H62:H69),"")</f>
        <v/>
      </c>
      <c r="I130" s="1212"/>
      <c r="J130" s="1233"/>
    </row>
    <row r="131" spans="1:10" s="1168" customFormat="1" ht="32.25" customHeight="1">
      <c r="A131" s="1206"/>
      <c r="B131" s="1241" t="str">
        <f>B70</f>
        <v xml:space="preserve">    POTRUBÍ A TVAROVKY K PE POTRUBÍ</v>
      </c>
      <c r="C131" s="1242"/>
      <c r="D131" s="1218"/>
      <c r="E131" s="1222"/>
      <c r="F131" s="1226"/>
      <c r="G131" s="1226"/>
      <c r="H131" s="1243" t="str">
        <f>IF(SUM(H71:H88),SUM(H71:H88),"")</f>
        <v/>
      </c>
      <c r="I131" s="1212"/>
      <c r="J131" s="1233"/>
    </row>
    <row r="132" spans="1:10" s="1168" customFormat="1" ht="32.25" customHeight="1">
      <c r="A132" s="1206"/>
      <c r="B132" s="1241" t="str">
        <f>B89</f>
        <v xml:space="preserve">    FILTRACE, ČERPACÍ STANICE A PŘÍSLUŠENSTVÍ</v>
      </c>
      <c r="C132" s="1242"/>
      <c r="D132" s="1218"/>
      <c r="E132" s="1222"/>
      <c r="F132" s="1226"/>
      <c r="G132" s="1226"/>
      <c r="H132" s="1243" t="str">
        <f>IF(SUM(H90:H114),SUM(H90:H114),"")</f>
        <v/>
      </c>
      <c r="I132" s="1212"/>
      <c r="J132" s="1233"/>
    </row>
    <row r="133" spans="1:10" s="1168" customFormat="1" ht="32.25" customHeight="1">
      <c r="A133" s="1206"/>
      <c r="B133" s="1244" t="str">
        <f>B116</f>
        <v xml:space="preserve">    MONTÁŽ SYSTÉMU, VÝKOPOVÉ PRÁCE</v>
      </c>
      <c r="C133" s="1245"/>
      <c r="D133" s="1246"/>
      <c r="E133" s="1247"/>
      <c r="F133" s="1248"/>
      <c r="G133" s="1248"/>
      <c r="H133" s="1249" t="str">
        <f>IF(SUM(H115:H121),SUM(H115:H121),"")</f>
        <v/>
      </c>
      <c r="I133" s="1212"/>
      <c r="J133" s="1233"/>
    </row>
    <row r="134" spans="1:10" s="1168" customFormat="1" ht="21" customHeight="1">
      <c r="A134" s="1206"/>
      <c r="B134" s="1250"/>
      <c r="C134" s="1242"/>
      <c r="D134" s="1218"/>
      <c r="E134" s="1222"/>
      <c r="F134" s="1226"/>
      <c r="G134" s="1226"/>
      <c r="H134" s="1251"/>
      <c r="I134" s="1212"/>
      <c r="J134" s="1233"/>
    </row>
    <row r="135" spans="1:10" s="1168" customFormat="1" ht="20.1" customHeight="1" hidden="1">
      <c r="A135" s="1206"/>
      <c r="B135" s="1724" t="s">
        <v>2680</v>
      </c>
      <c r="C135" s="1724"/>
      <c r="D135" s="1252" t="e">
        <f>-SUM(J18:J114)+H137</f>
        <v>#VALUE!</v>
      </c>
      <c r="E135" s="1222"/>
      <c r="F135" s="1226"/>
      <c r="G135" s="1226"/>
      <c r="I135" s="1212"/>
      <c r="J135" s="1233"/>
    </row>
    <row r="136" spans="1:10" s="1168" customFormat="1" ht="19.5" customHeight="1">
      <c r="A136" s="1206"/>
      <c r="B136" s="1221"/>
      <c r="C136" s="1217"/>
      <c r="D136" s="1218"/>
      <c r="E136" s="1222"/>
      <c r="F136" s="1219"/>
      <c r="G136" s="1220"/>
      <c r="H136" s="1220"/>
      <c r="I136" s="1212"/>
      <c r="J136" s="1233"/>
    </row>
    <row r="137" spans="1:8" s="1260" customFormat="1" ht="30.75" customHeight="1">
      <c r="A137" s="1253"/>
      <c r="B137" s="1254" t="s">
        <v>2681</v>
      </c>
      <c r="C137" s="1255"/>
      <c r="D137" s="1256"/>
      <c r="E137" s="1257"/>
      <c r="F137" s="1258"/>
      <c r="G137" s="1258"/>
      <c r="H137" s="1259" t="str">
        <f>IF(SUM(H127:H133),SUM(H127:H133),"")</f>
        <v/>
      </c>
    </row>
    <row r="138" spans="1:8" s="1260" customFormat="1" ht="30.75" customHeight="1">
      <c r="A138" s="1253"/>
      <c r="B138" s="1261" t="s">
        <v>2682</v>
      </c>
      <c r="C138" s="1262"/>
      <c r="D138" s="1263"/>
      <c r="E138" s="1264"/>
      <c r="F138" s="1265"/>
      <c r="G138" s="1265"/>
      <c r="H138" s="1348"/>
    </row>
    <row r="139" spans="1:8" s="1260" customFormat="1" ht="30.75" customHeight="1">
      <c r="A139" s="1253"/>
      <c r="B139" s="1266" t="s">
        <v>2683</v>
      </c>
      <c r="C139" s="1267"/>
      <c r="D139" s="1268"/>
      <c r="E139" s="1269"/>
      <c r="F139" s="1270"/>
      <c r="G139" s="1270"/>
      <c r="H139" s="1271"/>
    </row>
    <row r="140" ht="20.25" customHeight="1">
      <c r="A140" s="1272"/>
    </row>
    <row r="141" spans="1:8" ht="40.2" customHeight="1">
      <c r="A141" s="1272"/>
      <c r="B141" s="1274"/>
      <c r="C141" s="1274"/>
      <c r="D141" s="1274"/>
      <c r="E141" s="1275"/>
      <c r="F141" s="1274"/>
      <c r="G141" s="1274"/>
      <c r="H141" s="1274"/>
    </row>
    <row r="142" spans="2:8" ht="40.2" customHeight="1">
      <c r="B142" s="1274"/>
      <c r="C142" s="1274"/>
      <c r="D142" s="1274"/>
      <c r="E142" s="1275"/>
      <c r="F142" s="1274"/>
      <c r="G142" s="1274"/>
      <c r="H142" s="1276"/>
    </row>
    <row r="143" ht="40.2" customHeight="1"/>
    <row r="144" ht="40.2" customHeight="1"/>
    <row r="145" ht="40.2" customHeight="1"/>
  </sheetData>
  <mergeCells count="15">
    <mergeCell ref="A11:B11"/>
    <mergeCell ref="I1:P1"/>
    <mergeCell ref="A2:H2"/>
    <mergeCell ref="A7:B7"/>
    <mergeCell ref="A9:B9"/>
    <mergeCell ref="A10:B10"/>
    <mergeCell ref="B89:H89"/>
    <mergeCell ref="B116:H116"/>
    <mergeCell ref="B135:C135"/>
    <mergeCell ref="A12:B12"/>
    <mergeCell ref="B17:H17"/>
    <mergeCell ref="B32:H32"/>
    <mergeCell ref="B46:H46"/>
    <mergeCell ref="B61:H61"/>
    <mergeCell ref="B70:H70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40" r:id="rId1"/>
  <headerFooter alignWithMargins="0">
    <oddHeader>&amp;R&amp;14Zakázka číslo: &amp;F</oddHeader>
    <oddFooter>&amp;C&amp;14&amp;P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Z163"/>
  <sheetViews>
    <sheetView showGridLines="0" showZeros="0" workbookViewId="0" topLeftCell="A1">
      <selection activeCell="E75" sqref="E75"/>
    </sheetView>
  </sheetViews>
  <sheetFormatPr defaultColWidth="9.125" defaultRowHeight="12.75"/>
  <cols>
    <col min="1" max="1" width="4.50390625" style="266" customWidth="1"/>
    <col min="2" max="2" width="11.50390625" style="266" customWidth="1"/>
    <col min="3" max="3" width="40.50390625" style="266" customWidth="1"/>
    <col min="4" max="4" width="5.50390625" style="266" customWidth="1"/>
    <col min="5" max="5" width="8.50390625" style="272" customWidth="1"/>
    <col min="6" max="6" width="9.875" style="266" customWidth="1"/>
    <col min="7" max="7" width="13.875" style="266" customWidth="1"/>
    <col min="8" max="11" width="9.125" style="266" customWidth="1"/>
    <col min="12" max="12" width="75.50390625" style="266" customWidth="1"/>
    <col min="13" max="13" width="45.375" style="266" customWidth="1"/>
    <col min="14" max="16384" width="9.125" style="266" customWidth="1"/>
  </cols>
  <sheetData>
    <row r="1" spans="1:7" ht="15.6">
      <c r="A1" s="1590" t="s">
        <v>127</v>
      </c>
      <c r="B1" s="1590"/>
      <c r="C1" s="1590"/>
      <c r="D1" s="1590"/>
      <c r="E1" s="1590"/>
      <c r="F1" s="1590"/>
      <c r="G1" s="1590"/>
    </row>
    <row r="2" spans="1:7" ht="14.25" customHeight="1" thickBot="1">
      <c r="A2" s="190"/>
      <c r="B2" s="191"/>
      <c r="C2" s="192"/>
      <c r="D2" s="192"/>
      <c r="E2" s="193"/>
      <c r="F2" s="192"/>
      <c r="G2" s="192"/>
    </row>
    <row r="3" spans="1:7" ht="13.8" thickTop="1">
      <c r="A3" s="1579" t="s">
        <v>2</v>
      </c>
      <c r="B3" s="1580"/>
      <c r="C3" s="102" t="str">
        <f>CONCATENATE(cislostavby," ",nazevstavby)</f>
        <v>2013/88 Lednice zahrady</v>
      </c>
      <c r="D3" s="194"/>
      <c r="E3" s="195" t="s">
        <v>128</v>
      </c>
      <c r="F3" s="196">
        <f>'z01R'!H1</f>
        <v>0</v>
      </c>
      <c r="G3" s="197"/>
    </row>
    <row r="4" spans="1:7" ht="13.8" thickBot="1">
      <c r="A4" s="1591" t="s">
        <v>79</v>
      </c>
      <c r="B4" s="1582"/>
      <c r="C4" s="96" t="str">
        <f>CONCATENATE(cisloobjektu," ",nazevobjektu)</f>
        <v>01 Demolice</v>
      </c>
      <c r="D4" s="198"/>
      <c r="E4" s="1592" t="str">
        <f>'z01R'!G2</f>
        <v xml:space="preserve"> úpravy říjen 2014 přípočty+odpočty</v>
      </c>
      <c r="F4" s="1593"/>
      <c r="G4" s="1594"/>
    </row>
    <row r="5" spans="1:7" ht="13.8" thickTop="1">
      <c r="A5" s="199"/>
      <c r="B5" s="190"/>
      <c r="C5" s="190"/>
      <c r="D5" s="190"/>
      <c r="E5" s="200"/>
      <c r="F5" s="190"/>
      <c r="G5" s="201"/>
    </row>
    <row r="6" spans="1:7" ht="12.75">
      <c r="A6" s="202" t="s">
        <v>129</v>
      </c>
      <c r="B6" s="203" t="s">
        <v>130</v>
      </c>
      <c r="C6" s="203" t="s">
        <v>131</v>
      </c>
      <c r="D6" s="203" t="s">
        <v>132</v>
      </c>
      <c r="E6" s="204" t="s">
        <v>133</v>
      </c>
      <c r="F6" s="203" t="s">
        <v>134</v>
      </c>
      <c r="G6" s="205" t="s">
        <v>135</v>
      </c>
    </row>
    <row r="7" spans="1:15" ht="12.75">
      <c r="A7" s="207" t="s">
        <v>140</v>
      </c>
      <c r="B7" s="208" t="s">
        <v>141</v>
      </c>
      <c r="C7" s="209" t="s">
        <v>142</v>
      </c>
      <c r="D7" s="210"/>
      <c r="E7" s="211"/>
      <c r="F7" s="211"/>
      <c r="G7" s="212"/>
      <c r="H7" s="267"/>
      <c r="I7" s="267"/>
      <c r="O7" s="268">
        <v>1</v>
      </c>
    </row>
    <row r="8" spans="1:104" ht="12.75">
      <c r="A8" s="218">
        <v>1</v>
      </c>
      <c r="B8" s="219" t="s">
        <v>143</v>
      </c>
      <c r="C8" s="220" t="s">
        <v>144</v>
      </c>
      <c r="D8" s="221" t="s">
        <v>145</v>
      </c>
      <c r="E8" s="222">
        <v>-22.28</v>
      </c>
      <c r="F8" s="222">
        <v>0</v>
      </c>
      <c r="G8" s="223">
        <f>E8*F8</f>
        <v>0</v>
      </c>
      <c r="O8" s="268">
        <v>2</v>
      </c>
      <c r="AA8" s="266">
        <v>1</v>
      </c>
      <c r="AB8" s="266">
        <v>1</v>
      </c>
      <c r="AC8" s="266">
        <v>1</v>
      </c>
      <c r="AZ8" s="266">
        <v>1</v>
      </c>
      <c r="BA8" s="266">
        <f>IF(AZ8=1,G8,0)</f>
        <v>0</v>
      </c>
      <c r="BB8" s="266">
        <f>IF(AZ8=2,G8,0)</f>
        <v>0</v>
      </c>
      <c r="BC8" s="266">
        <f>IF(AZ8=3,G8,0)</f>
        <v>0</v>
      </c>
      <c r="BD8" s="266">
        <f>IF(AZ8=4,G8,0)</f>
        <v>0</v>
      </c>
      <c r="BE8" s="266">
        <f>IF(AZ8=5,G8,0)</f>
        <v>0</v>
      </c>
      <c r="CA8" s="268">
        <v>1</v>
      </c>
      <c r="CB8" s="268">
        <v>1</v>
      </c>
      <c r="CZ8" s="266">
        <v>0</v>
      </c>
    </row>
    <row r="9" spans="1:104" ht="12.75">
      <c r="A9" s="218">
        <v>2</v>
      </c>
      <c r="B9" s="219" t="s">
        <v>148</v>
      </c>
      <c r="C9" s="220" t="s">
        <v>149</v>
      </c>
      <c r="D9" s="221" t="s">
        <v>145</v>
      </c>
      <c r="E9" s="222">
        <v>-86.732</v>
      </c>
      <c r="F9" s="222">
        <v>0</v>
      </c>
      <c r="G9" s="223">
        <f>E9*F9</f>
        <v>0</v>
      </c>
      <c r="O9" s="268">
        <v>2</v>
      </c>
      <c r="AA9" s="266">
        <v>1</v>
      </c>
      <c r="AB9" s="266">
        <v>1</v>
      </c>
      <c r="AC9" s="266">
        <v>1</v>
      </c>
      <c r="AZ9" s="266">
        <v>1</v>
      </c>
      <c r="BA9" s="266">
        <f>IF(AZ9=1,G9,0)</f>
        <v>0</v>
      </c>
      <c r="BB9" s="266">
        <f>IF(AZ9=2,G9,0)</f>
        <v>0</v>
      </c>
      <c r="BC9" s="266">
        <f>IF(AZ9=3,G9,0)</f>
        <v>0</v>
      </c>
      <c r="BD9" s="266">
        <f>IF(AZ9=4,G9,0)</f>
        <v>0</v>
      </c>
      <c r="BE9" s="266">
        <f>IF(AZ9=5,G9,0)</f>
        <v>0</v>
      </c>
      <c r="CA9" s="268">
        <v>1</v>
      </c>
      <c r="CB9" s="268">
        <v>1</v>
      </c>
      <c r="CZ9" s="266">
        <v>0</v>
      </c>
    </row>
    <row r="10" spans="1:15" ht="12.75">
      <c r="A10" s="226"/>
      <c r="B10" s="227"/>
      <c r="C10" s="1588" t="s">
        <v>151</v>
      </c>
      <c r="D10" s="1589"/>
      <c r="E10" s="228">
        <v>36.618</v>
      </c>
      <c r="F10" s="229"/>
      <c r="G10" s="230"/>
      <c r="M10" s="234" t="s">
        <v>151</v>
      </c>
      <c r="O10" s="268"/>
    </row>
    <row r="11" spans="1:15" ht="12.75">
      <c r="A11" s="226"/>
      <c r="B11" s="227"/>
      <c r="C11" s="1588" t="s">
        <v>283</v>
      </c>
      <c r="D11" s="1589"/>
      <c r="E11" s="228">
        <v>-123.35</v>
      </c>
      <c r="F11" s="229"/>
      <c r="G11" s="230"/>
      <c r="M11" s="234" t="s">
        <v>283</v>
      </c>
      <c r="O11" s="268"/>
    </row>
    <row r="12" spans="1:104" ht="12.75">
      <c r="A12" s="218">
        <v>3</v>
      </c>
      <c r="B12" s="219" t="s">
        <v>152</v>
      </c>
      <c r="C12" s="220" t="s">
        <v>153</v>
      </c>
      <c r="D12" s="221" t="s">
        <v>154</v>
      </c>
      <c r="E12" s="222">
        <v>10.8112</v>
      </c>
      <c r="F12" s="222">
        <v>0</v>
      </c>
      <c r="G12" s="223">
        <f>E12*F12</f>
        <v>0</v>
      </c>
      <c r="O12" s="268">
        <v>2</v>
      </c>
      <c r="AA12" s="266">
        <v>1</v>
      </c>
      <c r="AB12" s="266">
        <v>1</v>
      </c>
      <c r="AC12" s="266">
        <v>1</v>
      </c>
      <c r="AZ12" s="266">
        <v>1</v>
      </c>
      <c r="BA12" s="266">
        <f>IF(AZ12=1,G12,0)</f>
        <v>0</v>
      </c>
      <c r="BB12" s="266">
        <f>IF(AZ12=2,G12,0)</f>
        <v>0</v>
      </c>
      <c r="BC12" s="266">
        <f>IF(AZ12=3,G12,0)</f>
        <v>0</v>
      </c>
      <c r="BD12" s="266">
        <f>IF(AZ12=4,G12,0)</f>
        <v>0</v>
      </c>
      <c r="BE12" s="266">
        <f>IF(AZ12=5,G12,0)</f>
        <v>0</v>
      </c>
      <c r="CA12" s="268">
        <v>1</v>
      </c>
      <c r="CB12" s="268">
        <v>1</v>
      </c>
      <c r="CZ12" s="266">
        <v>0</v>
      </c>
    </row>
    <row r="13" spans="1:104" ht="12.75">
      <c r="A13" s="218">
        <v>4</v>
      </c>
      <c r="B13" s="219" t="s">
        <v>156</v>
      </c>
      <c r="C13" s="220" t="s">
        <v>157</v>
      </c>
      <c r="D13" s="221" t="s">
        <v>154</v>
      </c>
      <c r="E13" s="222">
        <v>-2.8</v>
      </c>
      <c r="F13" s="222">
        <v>0</v>
      </c>
      <c r="G13" s="223">
        <f>E13*F13</f>
        <v>0</v>
      </c>
      <c r="O13" s="268">
        <v>2</v>
      </c>
      <c r="AA13" s="266">
        <v>1</v>
      </c>
      <c r="AB13" s="266">
        <v>0</v>
      </c>
      <c r="AC13" s="266">
        <v>0</v>
      </c>
      <c r="AZ13" s="266">
        <v>1</v>
      </c>
      <c r="BA13" s="266">
        <f>IF(AZ13=1,G13,0)</f>
        <v>0</v>
      </c>
      <c r="BB13" s="266">
        <f>IF(AZ13=2,G13,0)</f>
        <v>0</v>
      </c>
      <c r="BC13" s="266">
        <f>IF(AZ13=3,G13,0)</f>
        <v>0</v>
      </c>
      <c r="BD13" s="266">
        <f>IF(AZ13=4,G13,0)</f>
        <v>0</v>
      </c>
      <c r="BE13" s="266">
        <f>IF(AZ13=5,G13,0)</f>
        <v>0</v>
      </c>
      <c r="CA13" s="268">
        <v>1</v>
      </c>
      <c r="CB13" s="268">
        <v>0</v>
      </c>
      <c r="CZ13" s="266">
        <v>0</v>
      </c>
    </row>
    <row r="14" spans="1:15" ht="12.75">
      <c r="A14" s="226"/>
      <c r="B14" s="235"/>
      <c r="C14" s="1595"/>
      <c r="D14" s="1596"/>
      <c r="E14" s="1596"/>
      <c r="F14" s="1596"/>
      <c r="G14" s="1597"/>
      <c r="L14" s="234"/>
      <c r="O14" s="268">
        <v>3</v>
      </c>
    </row>
    <row r="15" spans="1:15" ht="12.75">
      <c r="A15" s="226"/>
      <c r="B15" s="227"/>
      <c r="C15" s="1588" t="s">
        <v>284</v>
      </c>
      <c r="D15" s="1589"/>
      <c r="E15" s="228">
        <v>-2.8</v>
      </c>
      <c r="F15" s="229"/>
      <c r="G15" s="230"/>
      <c r="M15" s="234" t="s">
        <v>284</v>
      </c>
      <c r="O15" s="268"/>
    </row>
    <row r="16" spans="1:104" ht="20.4">
      <c r="A16" s="218">
        <v>5</v>
      </c>
      <c r="B16" s="219" t="s">
        <v>159</v>
      </c>
      <c r="C16" s="220" t="s">
        <v>160</v>
      </c>
      <c r="D16" s="221" t="s">
        <v>154</v>
      </c>
      <c r="E16" s="222">
        <v>51.1022</v>
      </c>
      <c r="F16" s="222">
        <v>0</v>
      </c>
      <c r="G16" s="223">
        <f>E16*F16</f>
        <v>0</v>
      </c>
      <c r="O16" s="268">
        <v>2</v>
      </c>
      <c r="AA16" s="266">
        <v>1</v>
      </c>
      <c r="AB16" s="266">
        <v>1</v>
      </c>
      <c r="AC16" s="266">
        <v>1</v>
      </c>
      <c r="AZ16" s="266">
        <v>1</v>
      </c>
      <c r="BA16" s="266">
        <f>IF(AZ16=1,G16,0)</f>
        <v>0</v>
      </c>
      <c r="BB16" s="266">
        <f>IF(AZ16=2,G16,0)</f>
        <v>0</v>
      </c>
      <c r="BC16" s="266">
        <f>IF(AZ16=3,G16,0)</f>
        <v>0</v>
      </c>
      <c r="BD16" s="266">
        <f>IF(AZ16=4,G16,0)</f>
        <v>0</v>
      </c>
      <c r="BE16" s="266">
        <f>IF(AZ16=5,G16,0)</f>
        <v>0</v>
      </c>
      <c r="CA16" s="268">
        <v>1</v>
      </c>
      <c r="CB16" s="268">
        <v>1</v>
      </c>
      <c r="CZ16" s="266">
        <v>0</v>
      </c>
    </row>
    <row r="17" spans="1:15" ht="12.75">
      <c r="A17" s="226"/>
      <c r="B17" s="227"/>
      <c r="C17" s="1588" t="s">
        <v>285</v>
      </c>
      <c r="D17" s="1589"/>
      <c r="E17" s="228">
        <v>47.31</v>
      </c>
      <c r="F17" s="229"/>
      <c r="G17" s="230"/>
      <c r="M17" s="234" t="s">
        <v>285</v>
      </c>
      <c r="O17" s="268"/>
    </row>
    <row r="18" spans="1:15" ht="12.75">
      <c r="A18" s="226"/>
      <c r="B18" s="227"/>
      <c r="C18" s="1598" t="s">
        <v>197</v>
      </c>
      <c r="D18" s="1589"/>
      <c r="E18" s="246">
        <v>0</v>
      </c>
      <c r="F18" s="229"/>
      <c r="G18" s="230"/>
      <c r="M18" s="234" t="s">
        <v>197</v>
      </c>
      <c r="O18" s="268"/>
    </row>
    <row r="19" spans="1:15" ht="12.75">
      <c r="A19" s="226"/>
      <c r="B19" s="227"/>
      <c r="C19" s="1598" t="s">
        <v>286</v>
      </c>
      <c r="D19" s="1589"/>
      <c r="E19" s="246">
        <v>26.4488</v>
      </c>
      <c r="F19" s="229"/>
      <c r="G19" s="230"/>
      <c r="M19" s="234" t="s">
        <v>286</v>
      </c>
      <c r="O19" s="268"/>
    </row>
    <row r="20" spans="1:15" ht="12.75">
      <c r="A20" s="226"/>
      <c r="B20" s="227"/>
      <c r="C20" s="1598" t="s">
        <v>199</v>
      </c>
      <c r="D20" s="1589"/>
      <c r="E20" s="246">
        <v>26.4488</v>
      </c>
      <c r="F20" s="229"/>
      <c r="G20" s="230"/>
      <c r="M20" s="234" t="s">
        <v>199</v>
      </c>
      <c r="O20" s="268"/>
    </row>
    <row r="21" spans="1:15" ht="12.75">
      <c r="A21" s="226"/>
      <c r="B21" s="227"/>
      <c r="C21" s="1588" t="s">
        <v>287</v>
      </c>
      <c r="D21" s="1589"/>
      <c r="E21" s="228">
        <v>6.6122</v>
      </c>
      <c r="F21" s="229"/>
      <c r="G21" s="230"/>
      <c r="M21" s="234" t="s">
        <v>287</v>
      </c>
      <c r="O21" s="268"/>
    </row>
    <row r="22" spans="1:15" ht="12.75">
      <c r="A22" s="226"/>
      <c r="B22" s="227"/>
      <c r="C22" s="1588" t="s">
        <v>288</v>
      </c>
      <c r="D22" s="1589"/>
      <c r="E22" s="228">
        <v>-2.82</v>
      </c>
      <c r="F22" s="229"/>
      <c r="G22" s="230"/>
      <c r="M22" s="234" t="s">
        <v>288</v>
      </c>
      <c r="O22" s="268"/>
    </row>
    <row r="23" spans="1:104" ht="12.75">
      <c r="A23" s="218">
        <v>6</v>
      </c>
      <c r="B23" s="219" t="s">
        <v>162</v>
      </c>
      <c r="C23" s="220" t="s">
        <v>163</v>
      </c>
      <c r="D23" s="221" t="s">
        <v>154</v>
      </c>
      <c r="E23" s="222">
        <v>1.45</v>
      </c>
      <c r="F23" s="222">
        <v>0</v>
      </c>
      <c r="G23" s="223">
        <f>E23*F23</f>
        <v>0</v>
      </c>
      <c r="O23" s="268">
        <v>2</v>
      </c>
      <c r="AA23" s="266">
        <v>1</v>
      </c>
      <c r="AB23" s="266">
        <v>1</v>
      </c>
      <c r="AC23" s="266">
        <v>1</v>
      </c>
      <c r="AZ23" s="266">
        <v>1</v>
      </c>
      <c r="BA23" s="266">
        <f>IF(AZ23=1,G23,0)</f>
        <v>0</v>
      </c>
      <c r="BB23" s="266">
        <f>IF(AZ23=2,G23,0)</f>
        <v>0</v>
      </c>
      <c r="BC23" s="266">
        <f>IF(AZ23=3,G23,0)</f>
        <v>0</v>
      </c>
      <c r="BD23" s="266">
        <f>IF(AZ23=4,G23,0)</f>
        <v>0</v>
      </c>
      <c r="BE23" s="266">
        <f>IF(AZ23=5,G23,0)</f>
        <v>0</v>
      </c>
      <c r="CA23" s="268">
        <v>1</v>
      </c>
      <c r="CB23" s="268">
        <v>1</v>
      </c>
      <c r="CZ23" s="266">
        <v>0</v>
      </c>
    </row>
    <row r="24" spans="1:15" ht="12.75">
      <c r="A24" s="226"/>
      <c r="B24" s="227"/>
      <c r="C24" s="1588" t="s">
        <v>289</v>
      </c>
      <c r="D24" s="1589"/>
      <c r="E24" s="228">
        <v>4.27</v>
      </c>
      <c r="F24" s="229"/>
      <c r="G24" s="230"/>
      <c r="M24" s="234" t="s">
        <v>289</v>
      </c>
      <c r="O24" s="268"/>
    </row>
    <row r="25" spans="1:15" ht="12.75">
      <c r="A25" s="226"/>
      <c r="B25" s="227"/>
      <c r="C25" s="1588" t="s">
        <v>290</v>
      </c>
      <c r="D25" s="1589"/>
      <c r="E25" s="228">
        <v>-2.82</v>
      </c>
      <c r="F25" s="229"/>
      <c r="G25" s="230"/>
      <c r="M25" s="234" t="s">
        <v>290</v>
      </c>
      <c r="O25" s="268"/>
    </row>
    <row r="26" spans="1:104" ht="12.75">
      <c r="A26" s="218">
        <v>7</v>
      </c>
      <c r="B26" s="219" t="s">
        <v>164</v>
      </c>
      <c r="C26" s="220" t="s">
        <v>165</v>
      </c>
      <c r="D26" s="221" t="s">
        <v>166</v>
      </c>
      <c r="E26" s="222">
        <v>-5.922</v>
      </c>
      <c r="F26" s="222">
        <v>0</v>
      </c>
      <c r="G26" s="223">
        <f>E26*F26</f>
        <v>0</v>
      </c>
      <c r="O26" s="268">
        <v>2</v>
      </c>
      <c r="AA26" s="266">
        <v>1</v>
      </c>
      <c r="AB26" s="266">
        <v>1</v>
      </c>
      <c r="AC26" s="266">
        <v>1</v>
      </c>
      <c r="AZ26" s="266">
        <v>1</v>
      </c>
      <c r="BA26" s="266">
        <f>IF(AZ26=1,G26,0)</f>
        <v>0</v>
      </c>
      <c r="BB26" s="266">
        <f>IF(AZ26=2,G26,0)</f>
        <v>0</v>
      </c>
      <c r="BC26" s="266">
        <f>IF(AZ26=3,G26,0)</f>
        <v>0</v>
      </c>
      <c r="BD26" s="266">
        <f>IF(AZ26=4,G26,0)</f>
        <v>0</v>
      </c>
      <c r="BE26" s="266">
        <f>IF(AZ26=5,G26,0)</f>
        <v>0</v>
      </c>
      <c r="CA26" s="268">
        <v>1</v>
      </c>
      <c r="CB26" s="268">
        <v>1</v>
      </c>
      <c r="CZ26" s="266">
        <v>0</v>
      </c>
    </row>
    <row r="27" spans="1:15" ht="12.75">
      <c r="A27" s="226"/>
      <c r="B27" s="235"/>
      <c r="C27" s="1595"/>
      <c r="D27" s="1596"/>
      <c r="E27" s="1596"/>
      <c r="F27" s="1596"/>
      <c r="G27" s="1597"/>
      <c r="L27" s="234"/>
      <c r="O27" s="268">
        <v>3</v>
      </c>
    </row>
    <row r="28" spans="1:15" ht="12.75">
      <c r="A28" s="226"/>
      <c r="B28" s="227"/>
      <c r="C28" s="1588" t="s">
        <v>291</v>
      </c>
      <c r="D28" s="1589"/>
      <c r="E28" s="228">
        <v>-5.922</v>
      </c>
      <c r="F28" s="229"/>
      <c r="G28" s="230"/>
      <c r="M28" s="234" t="s">
        <v>291</v>
      </c>
      <c r="O28" s="268"/>
    </row>
    <row r="29" spans="1:104" ht="12.75">
      <c r="A29" s="218">
        <v>8</v>
      </c>
      <c r="B29" s="219" t="s">
        <v>168</v>
      </c>
      <c r="C29" s="220" t="s">
        <v>169</v>
      </c>
      <c r="D29" s="221" t="s">
        <v>154</v>
      </c>
      <c r="E29" s="222">
        <v>-0.138</v>
      </c>
      <c r="F29" s="222">
        <v>0</v>
      </c>
      <c r="G29" s="223">
        <f>E29*F29</f>
        <v>0</v>
      </c>
      <c r="O29" s="268">
        <v>2</v>
      </c>
      <c r="AA29" s="266">
        <v>1</v>
      </c>
      <c r="AB29" s="266">
        <v>1</v>
      </c>
      <c r="AC29" s="266">
        <v>1</v>
      </c>
      <c r="AZ29" s="266">
        <v>1</v>
      </c>
      <c r="BA29" s="266">
        <f>IF(AZ29=1,G29,0)</f>
        <v>0</v>
      </c>
      <c r="BB29" s="266">
        <f>IF(AZ29=2,G29,0)</f>
        <v>0</v>
      </c>
      <c r="BC29" s="266">
        <f>IF(AZ29=3,G29,0)</f>
        <v>0</v>
      </c>
      <c r="BD29" s="266">
        <f>IF(AZ29=4,G29,0)</f>
        <v>0</v>
      </c>
      <c r="BE29" s="266">
        <f>IF(AZ29=5,G29,0)</f>
        <v>0</v>
      </c>
      <c r="CA29" s="268">
        <v>1</v>
      </c>
      <c r="CB29" s="268">
        <v>1</v>
      </c>
      <c r="CZ29" s="266">
        <v>0</v>
      </c>
    </row>
    <row r="30" spans="1:15" ht="12.75">
      <c r="A30" s="226"/>
      <c r="B30" s="227"/>
      <c r="C30" s="1588" t="s">
        <v>292</v>
      </c>
      <c r="D30" s="1589"/>
      <c r="E30" s="228">
        <v>19.944</v>
      </c>
      <c r="F30" s="229"/>
      <c r="G30" s="230"/>
      <c r="M30" s="234" t="s">
        <v>292</v>
      </c>
      <c r="O30" s="268"/>
    </row>
    <row r="31" spans="1:15" ht="12.75">
      <c r="A31" s="226"/>
      <c r="B31" s="227"/>
      <c r="C31" s="1588" t="s">
        <v>171</v>
      </c>
      <c r="D31" s="1589"/>
      <c r="E31" s="228">
        <v>2.688</v>
      </c>
      <c r="F31" s="229"/>
      <c r="G31" s="230"/>
      <c r="M31" s="234" t="s">
        <v>171</v>
      </c>
      <c r="O31" s="268"/>
    </row>
    <row r="32" spans="1:15" ht="12.75">
      <c r="A32" s="226"/>
      <c r="B32" s="227"/>
      <c r="C32" s="1588" t="s">
        <v>293</v>
      </c>
      <c r="D32" s="1589"/>
      <c r="E32" s="228">
        <v>-22.77</v>
      </c>
      <c r="F32" s="229"/>
      <c r="G32" s="230"/>
      <c r="M32" s="234" t="s">
        <v>293</v>
      </c>
      <c r="O32" s="268"/>
    </row>
    <row r="33" spans="1:104" ht="12.75">
      <c r="A33" s="218">
        <v>9</v>
      </c>
      <c r="B33" s="219" t="s">
        <v>172</v>
      </c>
      <c r="C33" s="220" t="s">
        <v>173</v>
      </c>
      <c r="D33" s="221" t="s">
        <v>145</v>
      </c>
      <c r="E33" s="222">
        <v>1.45</v>
      </c>
      <c r="F33" s="222">
        <v>0</v>
      </c>
      <c r="G33" s="223">
        <f>E33*F33</f>
        <v>0</v>
      </c>
      <c r="O33" s="268">
        <v>2</v>
      </c>
      <c r="AA33" s="266">
        <v>1</v>
      </c>
      <c r="AB33" s="266">
        <v>1</v>
      </c>
      <c r="AC33" s="266">
        <v>1</v>
      </c>
      <c r="AZ33" s="266">
        <v>1</v>
      </c>
      <c r="BA33" s="266">
        <f>IF(AZ33=1,G33,0)</f>
        <v>0</v>
      </c>
      <c r="BB33" s="266">
        <f>IF(AZ33=2,G33,0)</f>
        <v>0</v>
      </c>
      <c r="BC33" s="266">
        <f>IF(AZ33=3,G33,0)</f>
        <v>0</v>
      </c>
      <c r="BD33" s="266">
        <f>IF(AZ33=4,G33,0)</f>
        <v>0</v>
      </c>
      <c r="BE33" s="266">
        <f>IF(AZ33=5,G33,0)</f>
        <v>0</v>
      </c>
      <c r="CA33" s="268">
        <v>1</v>
      </c>
      <c r="CB33" s="268">
        <v>1</v>
      </c>
      <c r="CZ33" s="266">
        <v>0</v>
      </c>
    </row>
    <row r="34" spans="1:15" ht="12.75">
      <c r="A34" s="226"/>
      <c r="B34" s="227"/>
      <c r="C34" s="1588" t="s">
        <v>294</v>
      </c>
      <c r="D34" s="1589"/>
      <c r="E34" s="228">
        <v>4.27</v>
      </c>
      <c r="F34" s="229"/>
      <c r="G34" s="230"/>
      <c r="M34" s="234" t="s">
        <v>294</v>
      </c>
      <c r="O34" s="268"/>
    </row>
    <row r="35" spans="1:15" ht="12.75">
      <c r="A35" s="226"/>
      <c r="B35" s="227"/>
      <c r="C35" s="1588" t="s">
        <v>290</v>
      </c>
      <c r="D35" s="1589"/>
      <c r="E35" s="228">
        <v>-2.82</v>
      </c>
      <c r="F35" s="229"/>
      <c r="G35" s="230"/>
      <c r="M35" s="234" t="s">
        <v>290</v>
      </c>
      <c r="O35" s="268"/>
    </row>
    <row r="36" spans="1:57" ht="12.75">
      <c r="A36" s="236"/>
      <c r="B36" s="237" t="s">
        <v>175</v>
      </c>
      <c r="C36" s="238" t="str">
        <f>CONCATENATE(B7," ",C7)</f>
        <v>1 Zemní práce</v>
      </c>
      <c r="D36" s="239"/>
      <c r="E36" s="240"/>
      <c r="F36" s="241"/>
      <c r="G36" s="242">
        <f>SUM(G7:G35)</f>
        <v>0</v>
      </c>
      <c r="O36" s="268">
        <v>4</v>
      </c>
      <c r="BA36" s="269">
        <f>SUM(BA7:BA35)</f>
        <v>0</v>
      </c>
      <c r="BB36" s="269">
        <f>SUM(BB7:BB35)</f>
        <v>0</v>
      </c>
      <c r="BC36" s="269">
        <f>SUM(BC7:BC35)</f>
        <v>0</v>
      </c>
      <c r="BD36" s="269">
        <f>SUM(BD7:BD35)</f>
        <v>0</v>
      </c>
      <c r="BE36" s="269">
        <f>SUM(BE7:BE35)</f>
        <v>0</v>
      </c>
    </row>
    <row r="37" spans="1:15" ht="12.75">
      <c r="A37" s="207" t="s">
        <v>140</v>
      </c>
      <c r="B37" s="208" t="s">
        <v>183</v>
      </c>
      <c r="C37" s="209" t="s">
        <v>184</v>
      </c>
      <c r="D37" s="210"/>
      <c r="E37" s="211"/>
      <c r="F37" s="211"/>
      <c r="G37" s="212"/>
      <c r="H37" s="267"/>
      <c r="I37" s="267"/>
      <c r="O37" s="268">
        <v>1</v>
      </c>
    </row>
    <row r="38" spans="1:104" ht="12.75">
      <c r="A38" s="218">
        <v>10</v>
      </c>
      <c r="B38" s="219" t="s">
        <v>185</v>
      </c>
      <c r="C38" s="220" t="s">
        <v>186</v>
      </c>
      <c r="D38" s="221" t="s">
        <v>154</v>
      </c>
      <c r="E38" s="222">
        <v>-2.82</v>
      </c>
      <c r="F38" s="222"/>
      <c r="G38" s="223">
        <f>E38*F38</f>
        <v>0</v>
      </c>
      <c r="O38" s="268">
        <v>2</v>
      </c>
      <c r="AA38" s="266">
        <v>1</v>
      </c>
      <c r="AB38" s="266">
        <v>1</v>
      </c>
      <c r="AC38" s="266">
        <v>1</v>
      </c>
      <c r="AZ38" s="266">
        <v>1</v>
      </c>
      <c r="BA38" s="266">
        <f>IF(AZ38=1,G38,0)</f>
        <v>0</v>
      </c>
      <c r="BB38" s="266">
        <f>IF(AZ38=2,G38,0)</f>
        <v>0</v>
      </c>
      <c r="BC38" s="266">
        <f>IF(AZ38=3,G38,0)</f>
        <v>0</v>
      </c>
      <c r="BD38" s="266">
        <f>IF(AZ38=4,G38,0)</f>
        <v>0</v>
      </c>
      <c r="BE38" s="266">
        <f>IF(AZ38=5,G38,0)</f>
        <v>0</v>
      </c>
      <c r="CA38" s="268">
        <v>1</v>
      </c>
      <c r="CB38" s="268">
        <v>1</v>
      </c>
      <c r="CZ38" s="266">
        <v>2.525</v>
      </c>
    </row>
    <row r="39" spans="1:15" ht="12.75">
      <c r="A39" s="226"/>
      <c r="B39" s="227"/>
      <c r="C39" s="1588" t="s">
        <v>290</v>
      </c>
      <c r="D39" s="1589"/>
      <c r="E39" s="228">
        <v>-2.82</v>
      </c>
      <c r="F39" s="229"/>
      <c r="G39" s="230"/>
      <c r="M39" s="234" t="s">
        <v>290</v>
      </c>
      <c r="O39" s="268"/>
    </row>
    <row r="40" spans="1:57" ht="12.75">
      <c r="A40" s="236"/>
      <c r="B40" s="237" t="s">
        <v>175</v>
      </c>
      <c r="C40" s="238" t="str">
        <f>CONCATENATE(B37," ",C37)</f>
        <v>2 Základy a zvláštní zakládání</v>
      </c>
      <c r="D40" s="239"/>
      <c r="E40" s="240"/>
      <c r="F40" s="241"/>
      <c r="G40" s="242">
        <f>SUM(G37:G39)</f>
        <v>0</v>
      </c>
      <c r="O40" s="268">
        <v>4</v>
      </c>
      <c r="BA40" s="269">
        <f>SUM(BA37:BA39)</f>
        <v>0</v>
      </c>
      <c r="BB40" s="269">
        <f>SUM(BB37:BB39)</f>
        <v>0</v>
      </c>
      <c r="BC40" s="269">
        <f>SUM(BC37:BC39)</f>
        <v>0</v>
      </c>
      <c r="BD40" s="269">
        <f>SUM(BD37:BD39)</f>
        <v>0</v>
      </c>
      <c r="BE40" s="269">
        <f>SUM(BE37:BE39)</f>
        <v>0</v>
      </c>
    </row>
    <row r="41" spans="1:15" ht="12.75">
      <c r="A41" s="207" t="s">
        <v>140</v>
      </c>
      <c r="B41" s="208" t="s">
        <v>188</v>
      </c>
      <c r="C41" s="209" t="s">
        <v>189</v>
      </c>
      <c r="D41" s="210"/>
      <c r="E41" s="211"/>
      <c r="F41" s="211"/>
      <c r="G41" s="212"/>
      <c r="H41" s="267"/>
      <c r="I41" s="267"/>
      <c r="O41" s="268">
        <v>1</v>
      </c>
    </row>
    <row r="42" spans="1:104" ht="20.4">
      <c r="A42" s="218">
        <v>11</v>
      </c>
      <c r="B42" s="219" t="s">
        <v>190</v>
      </c>
      <c r="C42" s="220" t="s">
        <v>191</v>
      </c>
      <c r="D42" s="221" t="s">
        <v>145</v>
      </c>
      <c r="E42" s="222">
        <v>-3.38</v>
      </c>
      <c r="F42" s="222"/>
      <c r="G42" s="223">
        <f>E42*F42</f>
        <v>0</v>
      </c>
      <c r="O42" s="268">
        <v>2</v>
      </c>
      <c r="AA42" s="266">
        <v>1</v>
      </c>
      <c r="AB42" s="266">
        <v>1</v>
      </c>
      <c r="AC42" s="266">
        <v>1</v>
      </c>
      <c r="AZ42" s="266">
        <v>1</v>
      </c>
      <c r="BA42" s="266">
        <f>IF(AZ42=1,G42,0)</f>
        <v>0</v>
      </c>
      <c r="BB42" s="266">
        <f>IF(AZ42=2,G42,0)</f>
        <v>0</v>
      </c>
      <c r="BC42" s="266">
        <f>IF(AZ42=3,G42,0)</f>
        <v>0</v>
      </c>
      <c r="BD42" s="266">
        <f>IF(AZ42=4,G42,0)</f>
        <v>0</v>
      </c>
      <c r="BE42" s="266">
        <f>IF(AZ42=5,G42,0)</f>
        <v>0</v>
      </c>
      <c r="CA42" s="268">
        <v>1</v>
      </c>
      <c r="CB42" s="268">
        <v>1</v>
      </c>
      <c r="CZ42" s="266">
        <v>0.30875</v>
      </c>
    </row>
    <row r="43" spans="1:15" ht="12.75">
      <c r="A43" s="226"/>
      <c r="B43" s="227"/>
      <c r="C43" s="1588" t="s">
        <v>295</v>
      </c>
      <c r="D43" s="1589"/>
      <c r="E43" s="228">
        <v>-3.38</v>
      </c>
      <c r="F43" s="229"/>
      <c r="G43" s="230"/>
      <c r="M43" s="234" t="s">
        <v>295</v>
      </c>
      <c r="O43" s="268"/>
    </row>
    <row r="44" spans="1:104" ht="12.75">
      <c r="A44" s="218">
        <v>12</v>
      </c>
      <c r="B44" s="219" t="s">
        <v>194</v>
      </c>
      <c r="C44" s="220" t="s">
        <v>195</v>
      </c>
      <c r="D44" s="221" t="s">
        <v>196</v>
      </c>
      <c r="E44" s="222">
        <v>-28</v>
      </c>
      <c r="F44" s="222"/>
      <c r="G44" s="223">
        <f>E44*F44</f>
        <v>0</v>
      </c>
      <c r="O44" s="268">
        <v>2</v>
      </c>
      <c r="AA44" s="266">
        <v>3</v>
      </c>
      <c r="AB44" s="266">
        <v>1</v>
      </c>
      <c r="AC44" s="266">
        <v>595133233</v>
      </c>
      <c r="AZ44" s="266">
        <v>1</v>
      </c>
      <c r="BA44" s="266">
        <f>IF(AZ44=1,G44,0)</f>
        <v>0</v>
      </c>
      <c r="BB44" s="266">
        <f>IF(AZ44=2,G44,0)</f>
        <v>0</v>
      </c>
      <c r="BC44" s="266">
        <f>IF(AZ44=3,G44,0)</f>
        <v>0</v>
      </c>
      <c r="BD44" s="266">
        <f>IF(AZ44=4,G44,0)</f>
        <v>0</v>
      </c>
      <c r="BE44" s="266">
        <f>IF(AZ44=5,G44,0)</f>
        <v>0</v>
      </c>
      <c r="CA44" s="268">
        <v>3</v>
      </c>
      <c r="CB44" s="268">
        <v>1</v>
      </c>
      <c r="CZ44" s="266">
        <v>0.025</v>
      </c>
    </row>
    <row r="45" spans="1:15" ht="12.75">
      <c r="A45" s="226"/>
      <c r="B45" s="227"/>
      <c r="C45" s="1588" t="s">
        <v>296</v>
      </c>
      <c r="D45" s="1589"/>
      <c r="E45" s="228">
        <v>-28</v>
      </c>
      <c r="F45" s="229"/>
      <c r="G45" s="230"/>
      <c r="M45" s="234" t="s">
        <v>296</v>
      </c>
      <c r="O45" s="268"/>
    </row>
    <row r="46" spans="1:57" ht="12.75">
      <c r="A46" s="236"/>
      <c r="B46" s="237" t="s">
        <v>175</v>
      </c>
      <c r="C46" s="238" t="str">
        <f>CONCATENATE(B41," ",C41)</f>
        <v>3 Svislé a kompletní konstrukce</v>
      </c>
      <c r="D46" s="239"/>
      <c r="E46" s="240"/>
      <c r="F46" s="241"/>
      <c r="G46" s="242">
        <f>SUM(G41:G45)</f>
        <v>0</v>
      </c>
      <c r="O46" s="268">
        <v>4</v>
      </c>
      <c r="BA46" s="269">
        <f>SUM(BA41:BA45)</f>
        <v>0</v>
      </c>
      <c r="BB46" s="269">
        <f>SUM(BB41:BB45)</f>
        <v>0</v>
      </c>
      <c r="BC46" s="269">
        <f>SUM(BC41:BC45)</f>
        <v>0</v>
      </c>
      <c r="BD46" s="269">
        <f>SUM(BD41:BD45)</f>
        <v>0</v>
      </c>
      <c r="BE46" s="269">
        <f>SUM(BE41:BE45)</f>
        <v>0</v>
      </c>
    </row>
    <row r="47" spans="1:15" ht="12.75">
      <c r="A47" s="207" t="s">
        <v>140</v>
      </c>
      <c r="B47" s="208" t="s">
        <v>213</v>
      </c>
      <c r="C47" s="209" t="s">
        <v>214</v>
      </c>
      <c r="D47" s="210"/>
      <c r="E47" s="211"/>
      <c r="F47" s="211"/>
      <c r="G47" s="212"/>
      <c r="H47" s="267"/>
      <c r="I47" s="267"/>
      <c r="O47" s="268">
        <v>1</v>
      </c>
    </row>
    <row r="48" spans="1:104" ht="12.75">
      <c r="A48" s="218">
        <v>13</v>
      </c>
      <c r="B48" s="219" t="s">
        <v>215</v>
      </c>
      <c r="C48" s="220" t="s">
        <v>216</v>
      </c>
      <c r="D48" s="221" t="s">
        <v>154</v>
      </c>
      <c r="E48" s="222">
        <v>-0.458</v>
      </c>
      <c r="F48" s="222"/>
      <c r="G48" s="223">
        <f>E48*F48</f>
        <v>0</v>
      </c>
      <c r="O48" s="268">
        <v>2</v>
      </c>
      <c r="AA48" s="266">
        <v>1</v>
      </c>
      <c r="AB48" s="266">
        <v>1</v>
      </c>
      <c r="AC48" s="266">
        <v>1</v>
      </c>
      <c r="AZ48" s="266">
        <v>1</v>
      </c>
      <c r="BA48" s="266">
        <f>IF(AZ48=1,G48,0)</f>
        <v>0</v>
      </c>
      <c r="BB48" s="266">
        <f>IF(AZ48=2,G48,0)</f>
        <v>0</v>
      </c>
      <c r="BC48" s="266">
        <f>IF(AZ48=3,G48,0)</f>
        <v>0</v>
      </c>
      <c r="BD48" s="266">
        <f>IF(AZ48=4,G48,0)</f>
        <v>0</v>
      </c>
      <c r="BE48" s="266">
        <f>IF(AZ48=5,G48,0)</f>
        <v>0</v>
      </c>
      <c r="CA48" s="268">
        <v>1</v>
      </c>
      <c r="CB48" s="268">
        <v>1</v>
      </c>
      <c r="CZ48" s="266">
        <v>0</v>
      </c>
    </row>
    <row r="49" spans="1:15" ht="12.75">
      <c r="A49" s="226"/>
      <c r="B49" s="227"/>
      <c r="C49" s="1588" t="s">
        <v>297</v>
      </c>
      <c r="D49" s="1589"/>
      <c r="E49" s="228">
        <v>19.624</v>
      </c>
      <c r="F49" s="229"/>
      <c r="G49" s="230"/>
      <c r="M49" s="234" t="s">
        <v>297</v>
      </c>
      <c r="O49" s="268"/>
    </row>
    <row r="50" spans="1:15" ht="12.75">
      <c r="A50" s="226"/>
      <c r="B50" s="227"/>
      <c r="C50" s="1588" t="s">
        <v>171</v>
      </c>
      <c r="D50" s="1589"/>
      <c r="E50" s="228">
        <v>2.688</v>
      </c>
      <c r="F50" s="229"/>
      <c r="G50" s="230"/>
      <c r="M50" s="234" t="s">
        <v>171</v>
      </c>
      <c r="O50" s="268"/>
    </row>
    <row r="51" spans="1:15" ht="12.75">
      <c r="A51" s="226"/>
      <c r="B51" s="227"/>
      <c r="C51" s="1588" t="s">
        <v>293</v>
      </c>
      <c r="D51" s="1589"/>
      <c r="E51" s="228">
        <v>-22.77</v>
      </c>
      <c r="F51" s="229"/>
      <c r="G51" s="230"/>
      <c r="M51" s="234" t="s">
        <v>293</v>
      </c>
      <c r="O51" s="268"/>
    </row>
    <row r="52" spans="1:104" ht="12.75">
      <c r="A52" s="218">
        <v>14</v>
      </c>
      <c r="B52" s="219" t="s">
        <v>217</v>
      </c>
      <c r="C52" s="220" t="s">
        <v>218</v>
      </c>
      <c r="D52" s="221" t="s">
        <v>154</v>
      </c>
      <c r="E52" s="222">
        <v>-0.2427</v>
      </c>
      <c r="F52" s="222"/>
      <c r="G52" s="223">
        <f>E52*F52</f>
        <v>0</v>
      </c>
      <c r="O52" s="268">
        <v>2</v>
      </c>
      <c r="AA52" s="266">
        <v>1</v>
      </c>
      <c r="AB52" s="266">
        <v>1</v>
      </c>
      <c r="AC52" s="266">
        <v>1</v>
      </c>
      <c r="AZ52" s="266">
        <v>1</v>
      </c>
      <c r="BA52" s="266">
        <f>IF(AZ52=1,G52,0)</f>
        <v>0</v>
      </c>
      <c r="BB52" s="266">
        <f>IF(AZ52=2,G52,0)</f>
        <v>0</v>
      </c>
      <c r="BC52" s="266">
        <f>IF(AZ52=3,G52,0)</f>
        <v>0</v>
      </c>
      <c r="BD52" s="266">
        <f>IF(AZ52=4,G52,0)</f>
        <v>0</v>
      </c>
      <c r="BE52" s="266">
        <f>IF(AZ52=5,G52,0)</f>
        <v>0</v>
      </c>
      <c r="CA52" s="268">
        <v>1</v>
      </c>
      <c r="CB52" s="268">
        <v>1</v>
      </c>
      <c r="CZ52" s="266">
        <v>0.00147</v>
      </c>
    </row>
    <row r="53" spans="1:15" ht="12.75">
      <c r="A53" s="226"/>
      <c r="B53" s="227"/>
      <c r="C53" s="1588" t="s">
        <v>298</v>
      </c>
      <c r="D53" s="1589"/>
      <c r="E53" s="228">
        <v>3.9248</v>
      </c>
      <c r="F53" s="229"/>
      <c r="G53" s="230"/>
      <c r="M53" s="234" t="s">
        <v>298</v>
      </c>
      <c r="O53" s="268"/>
    </row>
    <row r="54" spans="1:15" ht="12.75">
      <c r="A54" s="226"/>
      <c r="B54" s="227"/>
      <c r="C54" s="1588" t="s">
        <v>299</v>
      </c>
      <c r="D54" s="1589"/>
      <c r="E54" s="228">
        <v>1.3725</v>
      </c>
      <c r="F54" s="229"/>
      <c r="G54" s="230"/>
      <c r="M54" s="234" t="s">
        <v>299</v>
      </c>
      <c r="O54" s="268"/>
    </row>
    <row r="55" spans="1:15" ht="12.75">
      <c r="A55" s="226"/>
      <c r="B55" s="227"/>
      <c r="C55" s="1588" t="s">
        <v>300</v>
      </c>
      <c r="D55" s="1589"/>
      <c r="E55" s="228">
        <v>-5.54</v>
      </c>
      <c r="F55" s="229"/>
      <c r="G55" s="230"/>
      <c r="M55" s="234" t="s">
        <v>300</v>
      </c>
      <c r="O55" s="268"/>
    </row>
    <row r="56" spans="1:104" ht="20.4">
      <c r="A56" s="218">
        <v>15</v>
      </c>
      <c r="B56" s="219" t="s">
        <v>221</v>
      </c>
      <c r="C56" s="220" t="s">
        <v>222</v>
      </c>
      <c r="D56" s="221" t="s">
        <v>154</v>
      </c>
      <c r="E56" s="222">
        <v>-0.1829</v>
      </c>
      <c r="F56" s="222"/>
      <c r="G56" s="223">
        <f>E56*F56</f>
        <v>0</v>
      </c>
      <c r="O56" s="268">
        <v>2</v>
      </c>
      <c r="AA56" s="266">
        <v>1</v>
      </c>
      <c r="AB56" s="266">
        <v>1</v>
      </c>
      <c r="AC56" s="266">
        <v>1</v>
      </c>
      <c r="AZ56" s="266">
        <v>1</v>
      </c>
      <c r="BA56" s="266">
        <f>IF(AZ56=1,G56,0)</f>
        <v>0</v>
      </c>
      <c r="BB56" s="266">
        <f>IF(AZ56=2,G56,0)</f>
        <v>0</v>
      </c>
      <c r="BC56" s="266">
        <f>IF(AZ56=3,G56,0)</f>
        <v>0</v>
      </c>
      <c r="BD56" s="266">
        <f>IF(AZ56=4,G56,0)</f>
        <v>0</v>
      </c>
      <c r="BE56" s="266">
        <f>IF(AZ56=5,G56,0)</f>
        <v>0</v>
      </c>
      <c r="CA56" s="268">
        <v>1</v>
      </c>
      <c r="CB56" s="268">
        <v>1</v>
      </c>
      <c r="CZ56" s="266">
        <v>0</v>
      </c>
    </row>
    <row r="57" spans="1:15" ht="12.75">
      <c r="A57" s="226"/>
      <c r="B57" s="227"/>
      <c r="C57" s="1588" t="s">
        <v>301</v>
      </c>
      <c r="D57" s="1589"/>
      <c r="E57" s="228">
        <v>9.8271</v>
      </c>
      <c r="F57" s="229"/>
      <c r="G57" s="230"/>
      <c r="M57" s="234" t="s">
        <v>301</v>
      </c>
      <c r="O57" s="268"/>
    </row>
    <row r="58" spans="1:15" ht="12.75">
      <c r="A58" s="226"/>
      <c r="B58" s="227"/>
      <c r="C58" s="1588" t="s">
        <v>302</v>
      </c>
      <c r="D58" s="1589"/>
      <c r="E58" s="228">
        <v>-10.01</v>
      </c>
      <c r="F58" s="229"/>
      <c r="G58" s="230"/>
      <c r="M58" s="234" t="s">
        <v>302</v>
      </c>
      <c r="O58" s="268"/>
    </row>
    <row r="59" spans="1:104" ht="20.4">
      <c r="A59" s="218">
        <v>16</v>
      </c>
      <c r="B59" s="219" t="s">
        <v>224</v>
      </c>
      <c r="C59" s="220" t="s">
        <v>225</v>
      </c>
      <c r="D59" s="221" t="s">
        <v>154</v>
      </c>
      <c r="E59" s="222">
        <v>-0.1829</v>
      </c>
      <c r="F59" s="222"/>
      <c r="G59" s="223">
        <f>E59*F59</f>
        <v>0</v>
      </c>
      <c r="O59" s="268">
        <v>2</v>
      </c>
      <c r="AA59" s="266">
        <v>1</v>
      </c>
      <c r="AB59" s="266">
        <v>1</v>
      </c>
      <c r="AC59" s="266">
        <v>1</v>
      </c>
      <c r="AZ59" s="266">
        <v>1</v>
      </c>
      <c r="BA59" s="266">
        <f>IF(AZ59=1,G59,0)</f>
        <v>0</v>
      </c>
      <c r="BB59" s="266">
        <f>IF(AZ59=2,G59,0)</f>
        <v>0</v>
      </c>
      <c r="BC59" s="266">
        <f>IF(AZ59=3,G59,0)</f>
        <v>0</v>
      </c>
      <c r="BD59" s="266">
        <f>IF(AZ59=4,G59,0)</f>
        <v>0</v>
      </c>
      <c r="BE59" s="266">
        <f>IF(AZ59=5,G59,0)</f>
        <v>0</v>
      </c>
      <c r="CA59" s="268">
        <v>1</v>
      </c>
      <c r="CB59" s="268">
        <v>1</v>
      </c>
      <c r="CZ59" s="266">
        <v>0</v>
      </c>
    </row>
    <row r="60" spans="1:15" ht="12.75">
      <c r="A60" s="226"/>
      <c r="B60" s="227"/>
      <c r="C60" s="1588" t="s">
        <v>301</v>
      </c>
      <c r="D60" s="1589"/>
      <c r="E60" s="228">
        <v>9.8271</v>
      </c>
      <c r="F60" s="229"/>
      <c r="G60" s="230"/>
      <c r="M60" s="234" t="s">
        <v>301</v>
      </c>
      <c r="O60" s="268"/>
    </row>
    <row r="61" spans="1:15" ht="12.75">
      <c r="A61" s="226"/>
      <c r="B61" s="227"/>
      <c r="C61" s="1588" t="s">
        <v>302</v>
      </c>
      <c r="D61" s="1589"/>
      <c r="E61" s="228">
        <v>-10.01</v>
      </c>
      <c r="F61" s="229"/>
      <c r="G61" s="230"/>
      <c r="M61" s="234" t="s">
        <v>302</v>
      </c>
      <c r="O61" s="268"/>
    </row>
    <row r="62" spans="1:104" ht="12.75">
      <c r="A62" s="218">
        <v>17</v>
      </c>
      <c r="B62" s="219" t="s">
        <v>226</v>
      </c>
      <c r="C62" s="220" t="s">
        <v>227</v>
      </c>
      <c r="D62" s="221" t="s">
        <v>145</v>
      </c>
      <c r="E62" s="222">
        <v>-0.1</v>
      </c>
      <c r="F62" s="222"/>
      <c r="G62" s="223">
        <f>E62*F62</f>
        <v>0</v>
      </c>
      <c r="O62" s="268">
        <v>2</v>
      </c>
      <c r="AA62" s="266">
        <v>1</v>
      </c>
      <c r="AB62" s="266">
        <v>1</v>
      </c>
      <c r="AC62" s="266">
        <v>1</v>
      </c>
      <c r="AZ62" s="266">
        <v>1</v>
      </c>
      <c r="BA62" s="266">
        <f>IF(AZ62=1,G62,0)</f>
        <v>0</v>
      </c>
      <c r="BB62" s="266">
        <f>IF(AZ62=2,G62,0)</f>
        <v>0</v>
      </c>
      <c r="BC62" s="266">
        <f>IF(AZ62=3,G62,0)</f>
        <v>0</v>
      </c>
      <c r="BD62" s="266">
        <f>IF(AZ62=4,G62,0)</f>
        <v>0</v>
      </c>
      <c r="BE62" s="266">
        <f>IF(AZ62=5,G62,0)</f>
        <v>0</v>
      </c>
      <c r="CA62" s="268">
        <v>1</v>
      </c>
      <c r="CB62" s="268">
        <v>1</v>
      </c>
      <c r="CZ62" s="266">
        <v>0</v>
      </c>
    </row>
    <row r="63" spans="1:15" ht="12.75">
      <c r="A63" s="226"/>
      <c r="B63" s="227"/>
      <c r="C63" s="1588" t="s">
        <v>303</v>
      </c>
      <c r="D63" s="1589"/>
      <c r="E63" s="228">
        <v>5.37</v>
      </c>
      <c r="F63" s="229"/>
      <c r="G63" s="230"/>
      <c r="M63" s="234" t="s">
        <v>303</v>
      </c>
      <c r="O63" s="268"/>
    </row>
    <row r="64" spans="1:15" ht="12.75">
      <c r="A64" s="226"/>
      <c r="B64" s="227"/>
      <c r="C64" s="1588" t="s">
        <v>304</v>
      </c>
      <c r="D64" s="1589"/>
      <c r="E64" s="228">
        <v>-5.47</v>
      </c>
      <c r="F64" s="229"/>
      <c r="G64" s="230"/>
      <c r="M64" s="234" t="s">
        <v>304</v>
      </c>
      <c r="O64" s="268"/>
    </row>
    <row r="65" spans="1:57" ht="12.75">
      <c r="A65" s="236"/>
      <c r="B65" s="237" t="s">
        <v>175</v>
      </c>
      <c r="C65" s="238" t="str">
        <f>CONCATENATE(B47," ",C47)</f>
        <v>96 Bourání konstrukcí</v>
      </c>
      <c r="D65" s="239"/>
      <c r="E65" s="240"/>
      <c r="F65" s="241"/>
      <c r="G65" s="242">
        <f>SUM(G47:G64)</f>
        <v>0</v>
      </c>
      <c r="O65" s="268">
        <v>4</v>
      </c>
      <c r="BA65" s="269">
        <f>SUM(BA47:BA64)</f>
        <v>0</v>
      </c>
      <c r="BB65" s="269">
        <f>SUM(BB47:BB64)</f>
        <v>0</v>
      </c>
      <c r="BC65" s="269">
        <f>SUM(BC47:BC64)</f>
        <v>0</v>
      </c>
      <c r="BD65" s="269">
        <f>SUM(BD47:BD64)</f>
        <v>0</v>
      </c>
      <c r="BE65" s="269">
        <f>SUM(BE47:BE64)</f>
        <v>0</v>
      </c>
    </row>
    <row r="66" spans="1:15" ht="12.75">
      <c r="A66" s="207" t="s">
        <v>140</v>
      </c>
      <c r="B66" s="208" t="s">
        <v>234</v>
      </c>
      <c r="C66" s="209" t="s">
        <v>235</v>
      </c>
      <c r="D66" s="210"/>
      <c r="E66" s="211"/>
      <c r="F66" s="211"/>
      <c r="G66" s="212"/>
      <c r="H66" s="267"/>
      <c r="I66" s="267"/>
      <c r="O66" s="268">
        <v>1</v>
      </c>
    </row>
    <row r="67" spans="1:104" ht="12.75">
      <c r="A67" s="218">
        <v>18</v>
      </c>
      <c r="B67" s="219" t="s">
        <v>236</v>
      </c>
      <c r="C67" s="220" t="s">
        <v>237</v>
      </c>
      <c r="D67" s="221" t="s">
        <v>166</v>
      </c>
      <c r="E67" s="222">
        <v>-8.864431769</v>
      </c>
      <c r="F67" s="222"/>
      <c r="G67" s="223">
        <f>E67*F67</f>
        <v>0</v>
      </c>
      <c r="O67" s="268">
        <v>2</v>
      </c>
      <c r="AA67" s="266">
        <v>7</v>
      </c>
      <c r="AB67" s="266">
        <v>1</v>
      </c>
      <c r="AC67" s="266">
        <v>2</v>
      </c>
      <c r="AZ67" s="266">
        <v>1</v>
      </c>
      <c r="BA67" s="266">
        <f>IF(AZ67=1,G67,0)</f>
        <v>0</v>
      </c>
      <c r="BB67" s="266">
        <f>IF(AZ67=2,G67,0)</f>
        <v>0</v>
      </c>
      <c r="BC67" s="266">
        <f>IF(AZ67=3,G67,0)</f>
        <v>0</v>
      </c>
      <c r="BD67" s="266">
        <f>IF(AZ67=4,G67,0)</f>
        <v>0</v>
      </c>
      <c r="BE67" s="266">
        <f>IF(AZ67=5,G67,0)</f>
        <v>0</v>
      </c>
      <c r="CA67" s="268">
        <v>7</v>
      </c>
      <c r="CB67" s="268">
        <v>1</v>
      </c>
      <c r="CZ67" s="266">
        <v>0</v>
      </c>
    </row>
    <row r="68" spans="1:57" ht="12.75">
      <c r="A68" s="236"/>
      <c r="B68" s="237" t="s">
        <v>175</v>
      </c>
      <c r="C68" s="238" t="str">
        <f>CONCATENATE(B66," ",C66)</f>
        <v>99 Staveništní přesun hmot</v>
      </c>
      <c r="D68" s="239"/>
      <c r="E68" s="240"/>
      <c r="F68" s="241"/>
      <c r="G68" s="242">
        <f>SUM(G66:G67)</f>
        <v>0</v>
      </c>
      <c r="O68" s="268">
        <v>4</v>
      </c>
      <c r="BA68" s="269">
        <f>SUM(BA66:BA67)</f>
        <v>0</v>
      </c>
      <c r="BB68" s="269">
        <f>SUM(BB66:BB67)</f>
        <v>0</v>
      </c>
      <c r="BC68" s="269">
        <f>SUM(BC66:BC67)</f>
        <v>0</v>
      </c>
      <c r="BD68" s="269">
        <f>SUM(BD66:BD67)</f>
        <v>0</v>
      </c>
      <c r="BE68" s="269">
        <f>SUM(BE66:BE67)</f>
        <v>0</v>
      </c>
    </row>
    <row r="69" spans="1:15" ht="12.75">
      <c r="A69" s="207" t="s">
        <v>140</v>
      </c>
      <c r="B69" s="208" t="s">
        <v>239</v>
      </c>
      <c r="C69" s="209" t="s">
        <v>240</v>
      </c>
      <c r="D69" s="210"/>
      <c r="E69" s="211"/>
      <c r="F69" s="211"/>
      <c r="G69" s="212"/>
      <c r="H69" s="267"/>
      <c r="I69" s="267"/>
      <c r="O69" s="268">
        <v>1</v>
      </c>
    </row>
    <row r="70" spans="1:104" ht="12.75">
      <c r="A70" s="218">
        <v>19</v>
      </c>
      <c r="B70" s="219" t="s">
        <v>241</v>
      </c>
      <c r="C70" s="220" t="s">
        <v>242</v>
      </c>
      <c r="D70" s="221" t="s">
        <v>231</v>
      </c>
      <c r="E70" s="222">
        <v>-547</v>
      </c>
      <c r="F70" s="222"/>
      <c r="G70" s="223">
        <f>E70*F70</f>
        <v>0</v>
      </c>
      <c r="O70" s="268">
        <v>2</v>
      </c>
      <c r="AA70" s="266">
        <v>1</v>
      </c>
      <c r="AB70" s="266">
        <v>7</v>
      </c>
      <c r="AC70" s="266">
        <v>7</v>
      </c>
      <c r="AZ70" s="266">
        <v>2</v>
      </c>
      <c r="BA70" s="266">
        <f>IF(AZ70=1,G70,0)</f>
        <v>0</v>
      </c>
      <c r="BB70" s="266">
        <f>IF(AZ70=2,G70,0)</f>
        <v>0</v>
      </c>
      <c r="BC70" s="266">
        <f>IF(AZ70=3,G70,0)</f>
        <v>0</v>
      </c>
      <c r="BD70" s="266">
        <f>IF(AZ70=4,G70,0)</f>
        <v>0</v>
      </c>
      <c r="BE70" s="266">
        <f>IF(AZ70=5,G70,0)</f>
        <v>0</v>
      </c>
      <c r="CA70" s="268">
        <v>1</v>
      </c>
      <c r="CB70" s="268">
        <v>7</v>
      </c>
      <c r="CZ70" s="266">
        <v>0</v>
      </c>
    </row>
    <row r="71" spans="1:15" ht="12.75">
      <c r="A71" s="226"/>
      <c r="B71" s="227"/>
      <c r="C71" s="1588" t="s">
        <v>305</v>
      </c>
      <c r="D71" s="1589"/>
      <c r="E71" s="228">
        <v>63</v>
      </c>
      <c r="F71" s="229"/>
      <c r="G71" s="230"/>
      <c r="M71" s="234" t="s">
        <v>305</v>
      </c>
      <c r="O71" s="268"/>
    </row>
    <row r="72" spans="1:15" ht="12.75">
      <c r="A72" s="226"/>
      <c r="B72" s="227"/>
      <c r="C72" s="1588" t="s">
        <v>306</v>
      </c>
      <c r="D72" s="1589"/>
      <c r="E72" s="228">
        <v>-610</v>
      </c>
      <c r="F72" s="229"/>
      <c r="G72" s="230"/>
      <c r="M72" s="234">
        <v>-610</v>
      </c>
      <c r="O72" s="268"/>
    </row>
    <row r="73" spans="1:104" ht="12.75">
      <c r="A73" s="218">
        <v>20</v>
      </c>
      <c r="B73" s="219" t="s">
        <v>307</v>
      </c>
      <c r="C73" s="220" t="s">
        <v>308</v>
      </c>
      <c r="D73" s="221" t="s">
        <v>145</v>
      </c>
      <c r="E73" s="222">
        <v>189.24</v>
      </c>
      <c r="F73" s="222"/>
      <c r="G73" s="223">
        <f>E73*F73</f>
        <v>0</v>
      </c>
      <c r="O73" s="268">
        <v>2</v>
      </c>
      <c r="AA73" s="266">
        <v>1</v>
      </c>
      <c r="AB73" s="266">
        <v>7</v>
      </c>
      <c r="AC73" s="266">
        <v>7</v>
      </c>
      <c r="AZ73" s="266">
        <v>2</v>
      </c>
      <c r="BA73" s="266">
        <f>IF(AZ73=1,G73,0)</f>
        <v>0</v>
      </c>
      <c r="BB73" s="266">
        <f>IF(AZ73=2,G73,0)</f>
        <v>0</v>
      </c>
      <c r="BC73" s="266">
        <f>IF(AZ73=3,G73,0)</f>
        <v>0</v>
      </c>
      <c r="BD73" s="266">
        <f>IF(AZ73=4,G73,0)</f>
        <v>0</v>
      </c>
      <c r="BE73" s="266">
        <f>IF(AZ73=5,G73,0)</f>
        <v>0</v>
      </c>
      <c r="CA73" s="268">
        <v>1</v>
      </c>
      <c r="CB73" s="268">
        <v>7</v>
      </c>
      <c r="CZ73" s="266">
        <v>0</v>
      </c>
    </row>
    <row r="74" spans="1:15" ht="12.75">
      <c r="A74" s="226"/>
      <c r="B74" s="227"/>
      <c r="C74" s="1588" t="s">
        <v>309</v>
      </c>
      <c r="D74" s="1589"/>
      <c r="E74" s="228">
        <v>189.24</v>
      </c>
      <c r="F74" s="229"/>
      <c r="G74" s="230"/>
      <c r="M74" s="234" t="s">
        <v>309</v>
      </c>
      <c r="O74" s="268"/>
    </row>
    <row r="75" spans="1:104" ht="12.75">
      <c r="A75" s="218">
        <v>21</v>
      </c>
      <c r="B75" s="219" t="s">
        <v>244</v>
      </c>
      <c r="C75" s="220" t="s">
        <v>245</v>
      </c>
      <c r="D75" s="221" t="s">
        <v>9</v>
      </c>
      <c r="E75" s="222"/>
      <c r="F75" s="222"/>
      <c r="G75" s="223">
        <f>E75*F75</f>
        <v>0</v>
      </c>
      <c r="O75" s="268">
        <v>2</v>
      </c>
      <c r="AA75" s="266">
        <v>7</v>
      </c>
      <c r="AB75" s="266">
        <v>1002</v>
      </c>
      <c r="AC75" s="266">
        <v>5</v>
      </c>
      <c r="AZ75" s="266">
        <v>2</v>
      </c>
      <c r="BA75" s="266">
        <f>IF(AZ75=1,G75,0)</f>
        <v>0</v>
      </c>
      <c r="BB75" s="266">
        <f>IF(AZ75=2,G75,0)</f>
        <v>0</v>
      </c>
      <c r="BC75" s="266">
        <f>IF(AZ75=3,G75,0)</f>
        <v>0</v>
      </c>
      <c r="BD75" s="266">
        <f>IF(AZ75=4,G75,0)</f>
        <v>0</v>
      </c>
      <c r="BE75" s="266">
        <f>IF(AZ75=5,G75,0)</f>
        <v>0</v>
      </c>
      <c r="CA75" s="268">
        <v>7</v>
      </c>
      <c r="CB75" s="268">
        <v>1002</v>
      </c>
      <c r="CZ75" s="266">
        <v>0</v>
      </c>
    </row>
    <row r="76" spans="1:57" ht="12.75">
      <c r="A76" s="236"/>
      <c r="B76" s="237" t="s">
        <v>175</v>
      </c>
      <c r="C76" s="238" t="str">
        <f>CONCATENATE(B69," ",C69)</f>
        <v>762 Konstrukce tesařské</v>
      </c>
      <c r="D76" s="239"/>
      <c r="E76" s="240"/>
      <c r="F76" s="241"/>
      <c r="G76" s="242">
        <f>SUM(G69:G75)</f>
        <v>0</v>
      </c>
      <c r="O76" s="268">
        <v>4</v>
      </c>
      <c r="BA76" s="269">
        <f>SUM(BA69:BA75)</f>
        <v>0</v>
      </c>
      <c r="BB76" s="269">
        <f>SUM(BB69:BB75)</f>
        <v>0</v>
      </c>
      <c r="BC76" s="269">
        <f>SUM(BC69:BC75)</f>
        <v>0</v>
      </c>
      <c r="BD76" s="269">
        <f>SUM(BD69:BD75)</f>
        <v>0</v>
      </c>
      <c r="BE76" s="269">
        <f>SUM(BE69:BE75)</f>
        <v>0</v>
      </c>
    </row>
    <row r="77" spans="1:15" ht="12.75">
      <c r="A77" s="207" t="s">
        <v>140</v>
      </c>
      <c r="B77" s="208" t="s">
        <v>247</v>
      </c>
      <c r="C77" s="209" t="s">
        <v>248</v>
      </c>
      <c r="D77" s="210"/>
      <c r="E77" s="211"/>
      <c r="F77" s="211"/>
      <c r="G77" s="212"/>
      <c r="H77" s="267"/>
      <c r="I77" s="267"/>
      <c r="O77" s="268">
        <v>1</v>
      </c>
    </row>
    <row r="78" spans="1:104" ht="12.75">
      <c r="A78" s="218">
        <v>22</v>
      </c>
      <c r="B78" s="219" t="s">
        <v>249</v>
      </c>
      <c r="C78" s="220" t="s">
        <v>250</v>
      </c>
      <c r="D78" s="221" t="s">
        <v>231</v>
      </c>
      <c r="E78" s="222">
        <v>42.96</v>
      </c>
      <c r="F78" s="222"/>
      <c r="G78" s="223">
        <f>E78*F78</f>
        <v>0</v>
      </c>
      <c r="O78" s="268">
        <v>2</v>
      </c>
      <c r="AA78" s="266">
        <v>1</v>
      </c>
      <c r="AB78" s="266">
        <v>7</v>
      </c>
      <c r="AC78" s="266">
        <v>7</v>
      </c>
      <c r="AZ78" s="266">
        <v>2</v>
      </c>
      <c r="BA78" s="266">
        <f>IF(AZ78=1,G78,0)</f>
        <v>0</v>
      </c>
      <c r="BB78" s="266">
        <f>IF(AZ78=2,G78,0)</f>
        <v>0</v>
      </c>
      <c r="BC78" s="266">
        <f>IF(AZ78=3,G78,0)</f>
        <v>0</v>
      </c>
      <c r="BD78" s="266">
        <f>IF(AZ78=4,G78,0)</f>
        <v>0</v>
      </c>
      <c r="BE78" s="266">
        <f>IF(AZ78=5,G78,0)</f>
        <v>0</v>
      </c>
      <c r="CA78" s="268">
        <v>1</v>
      </c>
      <c r="CB78" s="268">
        <v>7</v>
      </c>
      <c r="CZ78" s="266">
        <v>0</v>
      </c>
    </row>
    <row r="79" spans="1:15" ht="12.75">
      <c r="A79" s="226"/>
      <c r="B79" s="227"/>
      <c r="C79" s="1588" t="s">
        <v>251</v>
      </c>
      <c r="D79" s="1589"/>
      <c r="E79" s="228">
        <v>6.8</v>
      </c>
      <c r="F79" s="229"/>
      <c r="G79" s="230"/>
      <c r="M79" s="234" t="s">
        <v>251</v>
      </c>
      <c r="O79" s="268"/>
    </row>
    <row r="80" spans="1:15" ht="12.75">
      <c r="A80" s="226"/>
      <c r="B80" s="227"/>
      <c r="C80" s="1588" t="s">
        <v>310</v>
      </c>
      <c r="D80" s="1589"/>
      <c r="E80" s="228">
        <v>42.96</v>
      </c>
      <c r="F80" s="229"/>
      <c r="G80" s="230"/>
      <c r="M80" s="234" t="s">
        <v>310</v>
      </c>
      <c r="O80" s="268"/>
    </row>
    <row r="81" spans="1:15" ht="12.75">
      <c r="A81" s="226"/>
      <c r="B81" s="227"/>
      <c r="C81" s="1588" t="s">
        <v>311</v>
      </c>
      <c r="D81" s="1589"/>
      <c r="E81" s="228">
        <v>-6.8</v>
      </c>
      <c r="F81" s="229"/>
      <c r="G81" s="230"/>
      <c r="M81" s="234" t="s">
        <v>311</v>
      </c>
      <c r="O81" s="268"/>
    </row>
    <row r="82" spans="1:104" ht="12.75">
      <c r="A82" s="218">
        <v>23</v>
      </c>
      <c r="B82" s="219" t="s">
        <v>252</v>
      </c>
      <c r="C82" s="220" t="s">
        <v>253</v>
      </c>
      <c r="D82" s="221" t="s">
        <v>9</v>
      </c>
      <c r="E82" s="222"/>
      <c r="F82" s="222"/>
      <c r="G82" s="223">
        <f>E82*F82</f>
        <v>0</v>
      </c>
      <c r="O82" s="268">
        <v>2</v>
      </c>
      <c r="AA82" s="266">
        <v>7</v>
      </c>
      <c r="AB82" s="266">
        <v>1002</v>
      </c>
      <c r="AC82" s="266">
        <v>5</v>
      </c>
      <c r="AZ82" s="266">
        <v>2</v>
      </c>
      <c r="BA82" s="266">
        <f>IF(AZ82=1,G82,0)</f>
        <v>0</v>
      </c>
      <c r="BB82" s="266">
        <f>IF(AZ82=2,G82,0)</f>
        <v>0</v>
      </c>
      <c r="BC82" s="266">
        <f>IF(AZ82=3,G82,0)</f>
        <v>0</v>
      </c>
      <c r="BD82" s="266">
        <f>IF(AZ82=4,G82,0)</f>
        <v>0</v>
      </c>
      <c r="BE82" s="266">
        <f>IF(AZ82=5,G82,0)</f>
        <v>0</v>
      </c>
      <c r="CA82" s="268">
        <v>7</v>
      </c>
      <c r="CB82" s="268">
        <v>1002</v>
      </c>
      <c r="CZ82" s="266">
        <v>0</v>
      </c>
    </row>
    <row r="83" spans="1:57" ht="12.75">
      <c r="A83" s="236"/>
      <c r="B83" s="237" t="s">
        <v>175</v>
      </c>
      <c r="C83" s="238" t="str">
        <f>CONCATENATE(B77," ",C77)</f>
        <v>764 Konstrukce klempířské</v>
      </c>
      <c r="D83" s="239"/>
      <c r="E83" s="240"/>
      <c r="F83" s="241"/>
      <c r="G83" s="242">
        <f>SUM(G77:G82)</f>
        <v>0</v>
      </c>
      <c r="O83" s="268">
        <v>4</v>
      </c>
      <c r="BA83" s="269">
        <f>SUM(BA77:BA82)</f>
        <v>0</v>
      </c>
      <c r="BB83" s="269">
        <f>SUM(BB77:BB82)</f>
        <v>0</v>
      </c>
      <c r="BC83" s="269">
        <f>SUM(BC77:BC82)</f>
        <v>0</v>
      </c>
      <c r="BD83" s="269">
        <f>SUM(BD77:BD82)</f>
        <v>0</v>
      </c>
      <c r="BE83" s="269">
        <f>SUM(BE77:BE82)</f>
        <v>0</v>
      </c>
    </row>
    <row r="84" spans="1:15" ht="12.75">
      <c r="A84" s="207" t="s">
        <v>140</v>
      </c>
      <c r="B84" s="208" t="s">
        <v>266</v>
      </c>
      <c r="C84" s="209" t="s">
        <v>267</v>
      </c>
      <c r="D84" s="210"/>
      <c r="E84" s="211"/>
      <c r="F84" s="211"/>
      <c r="G84" s="212"/>
      <c r="H84" s="267"/>
      <c r="I84" s="267"/>
      <c r="O84" s="268">
        <v>1</v>
      </c>
    </row>
    <row r="85" spans="1:104" ht="12.75">
      <c r="A85" s="218">
        <v>24</v>
      </c>
      <c r="B85" s="219" t="s">
        <v>268</v>
      </c>
      <c r="C85" s="220" t="s">
        <v>269</v>
      </c>
      <c r="D85" s="221" t="s">
        <v>166</v>
      </c>
      <c r="E85" s="222">
        <v>-37.724272</v>
      </c>
      <c r="F85" s="222"/>
      <c r="G85" s="223">
        <f>E85*F85</f>
        <v>0</v>
      </c>
      <c r="O85" s="268">
        <v>2</v>
      </c>
      <c r="AA85" s="266">
        <v>8</v>
      </c>
      <c r="AB85" s="266">
        <v>0</v>
      </c>
      <c r="AC85" s="266">
        <v>3</v>
      </c>
      <c r="AZ85" s="266">
        <v>1</v>
      </c>
      <c r="BA85" s="266">
        <f>IF(AZ85=1,G85,0)</f>
        <v>0</v>
      </c>
      <c r="BB85" s="266">
        <f>IF(AZ85=2,G85,0)</f>
        <v>0</v>
      </c>
      <c r="BC85" s="266">
        <f>IF(AZ85=3,G85,0)</f>
        <v>0</v>
      </c>
      <c r="BD85" s="266">
        <f>IF(AZ85=4,G85,0)</f>
        <v>0</v>
      </c>
      <c r="BE85" s="266">
        <f>IF(AZ85=5,G85,0)</f>
        <v>0</v>
      </c>
      <c r="CA85" s="268">
        <v>8</v>
      </c>
      <c r="CB85" s="268">
        <v>0</v>
      </c>
      <c r="CZ85" s="266">
        <v>0</v>
      </c>
    </row>
    <row r="86" spans="1:104" ht="12.75">
      <c r="A86" s="218">
        <v>25</v>
      </c>
      <c r="B86" s="219" t="s">
        <v>270</v>
      </c>
      <c r="C86" s="220" t="s">
        <v>271</v>
      </c>
      <c r="D86" s="221" t="s">
        <v>166</v>
      </c>
      <c r="E86" s="222">
        <v>-377.24272</v>
      </c>
      <c r="F86" s="222"/>
      <c r="G86" s="223">
        <f>E86*F86</f>
        <v>0</v>
      </c>
      <c r="O86" s="268">
        <v>2</v>
      </c>
      <c r="AA86" s="266">
        <v>8</v>
      </c>
      <c r="AB86" s="266">
        <v>0</v>
      </c>
      <c r="AC86" s="266">
        <v>3</v>
      </c>
      <c r="AZ86" s="266">
        <v>1</v>
      </c>
      <c r="BA86" s="266">
        <f>IF(AZ86=1,G86,0)</f>
        <v>0</v>
      </c>
      <c r="BB86" s="266">
        <f>IF(AZ86=2,G86,0)</f>
        <v>0</v>
      </c>
      <c r="BC86" s="266">
        <f>IF(AZ86=3,G86,0)</f>
        <v>0</v>
      </c>
      <c r="BD86" s="266">
        <f>IF(AZ86=4,G86,0)</f>
        <v>0</v>
      </c>
      <c r="BE86" s="266">
        <f>IF(AZ86=5,G86,0)</f>
        <v>0</v>
      </c>
      <c r="CA86" s="268">
        <v>8</v>
      </c>
      <c r="CB86" s="268">
        <v>0</v>
      </c>
      <c r="CZ86" s="266">
        <v>0</v>
      </c>
    </row>
    <row r="87" spans="1:104" ht="12.75">
      <c r="A87" s="218">
        <v>26</v>
      </c>
      <c r="B87" s="219" t="s">
        <v>272</v>
      </c>
      <c r="C87" s="220" t="s">
        <v>273</v>
      </c>
      <c r="D87" s="221" t="s">
        <v>166</v>
      </c>
      <c r="E87" s="222">
        <v>-37.724272</v>
      </c>
      <c r="F87" s="222"/>
      <c r="G87" s="223">
        <f>E87*F87</f>
        <v>0</v>
      </c>
      <c r="O87" s="268">
        <v>2</v>
      </c>
      <c r="AA87" s="266">
        <v>8</v>
      </c>
      <c r="AB87" s="266">
        <v>0</v>
      </c>
      <c r="AC87" s="266">
        <v>3</v>
      </c>
      <c r="AZ87" s="266">
        <v>1</v>
      </c>
      <c r="BA87" s="266">
        <f>IF(AZ87=1,G87,0)</f>
        <v>0</v>
      </c>
      <c r="BB87" s="266">
        <f>IF(AZ87=2,G87,0)</f>
        <v>0</v>
      </c>
      <c r="BC87" s="266">
        <f>IF(AZ87=3,G87,0)</f>
        <v>0</v>
      </c>
      <c r="BD87" s="266">
        <f>IF(AZ87=4,G87,0)</f>
        <v>0</v>
      </c>
      <c r="BE87" s="266">
        <f>IF(AZ87=5,G87,0)</f>
        <v>0</v>
      </c>
      <c r="CA87" s="268">
        <v>8</v>
      </c>
      <c r="CB87" s="268">
        <v>0</v>
      </c>
      <c r="CZ87" s="266">
        <v>0</v>
      </c>
    </row>
    <row r="88" spans="1:104" ht="12.75">
      <c r="A88" s="218">
        <v>27</v>
      </c>
      <c r="B88" s="219" t="s">
        <v>274</v>
      </c>
      <c r="C88" s="220" t="s">
        <v>275</v>
      </c>
      <c r="D88" s="221" t="s">
        <v>166</v>
      </c>
      <c r="E88" s="222">
        <v>-113.172816</v>
      </c>
      <c r="F88" s="222"/>
      <c r="G88" s="223">
        <f>E88*F88</f>
        <v>0</v>
      </c>
      <c r="O88" s="268">
        <v>2</v>
      </c>
      <c r="AA88" s="266">
        <v>8</v>
      </c>
      <c r="AB88" s="266">
        <v>0</v>
      </c>
      <c r="AC88" s="266">
        <v>3</v>
      </c>
      <c r="AZ88" s="266">
        <v>1</v>
      </c>
      <c r="BA88" s="266">
        <f>IF(AZ88=1,G88,0)</f>
        <v>0</v>
      </c>
      <c r="BB88" s="266">
        <f>IF(AZ88=2,G88,0)</f>
        <v>0</v>
      </c>
      <c r="BC88" s="266">
        <f>IF(AZ88=3,G88,0)</f>
        <v>0</v>
      </c>
      <c r="BD88" s="266">
        <f>IF(AZ88=4,G88,0)</f>
        <v>0</v>
      </c>
      <c r="BE88" s="266">
        <f>IF(AZ88=5,G88,0)</f>
        <v>0</v>
      </c>
      <c r="CA88" s="268">
        <v>8</v>
      </c>
      <c r="CB88" s="268">
        <v>0</v>
      </c>
      <c r="CZ88" s="266">
        <v>0</v>
      </c>
    </row>
    <row r="89" spans="1:104" ht="12.75">
      <c r="A89" s="218">
        <v>28</v>
      </c>
      <c r="B89" s="219" t="s">
        <v>276</v>
      </c>
      <c r="C89" s="220" t="s">
        <v>312</v>
      </c>
      <c r="D89" s="221" t="s">
        <v>166</v>
      </c>
      <c r="E89" s="222">
        <v>-37.724272</v>
      </c>
      <c r="F89" s="222"/>
      <c r="G89" s="223">
        <f>E89*F89</f>
        <v>0</v>
      </c>
      <c r="O89" s="268">
        <v>2</v>
      </c>
      <c r="AA89" s="266">
        <v>8</v>
      </c>
      <c r="AB89" s="266">
        <v>0</v>
      </c>
      <c r="AC89" s="266">
        <v>3</v>
      </c>
      <c r="AZ89" s="266">
        <v>1</v>
      </c>
      <c r="BA89" s="266">
        <f>IF(AZ89=1,G89,0)</f>
        <v>0</v>
      </c>
      <c r="BB89" s="266">
        <f>IF(AZ89=2,G89,0)</f>
        <v>0</v>
      </c>
      <c r="BC89" s="266">
        <f>IF(AZ89=3,G89,0)</f>
        <v>0</v>
      </c>
      <c r="BD89" s="266">
        <f>IF(AZ89=4,G89,0)</f>
        <v>0</v>
      </c>
      <c r="BE89" s="266">
        <f>IF(AZ89=5,G89,0)</f>
        <v>0</v>
      </c>
      <c r="CA89" s="268">
        <v>8</v>
      </c>
      <c r="CB89" s="268">
        <v>0</v>
      </c>
      <c r="CZ89" s="266">
        <v>0</v>
      </c>
    </row>
    <row r="90" spans="1:57" ht="12.75">
      <c r="A90" s="236"/>
      <c r="B90" s="237" t="s">
        <v>175</v>
      </c>
      <c r="C90" s="238" t="str">
        <f>CONCATENATE(B84," ",C84)</f>
        <v>D96 Přesuny suti a vybouraných hmot</v>
      </c>
      <c r="D90" s="239"/>
      <c r="E90" s="240"/>
      <c r="F90" s="241"/>
      <c r="G90" s="242">
        <f>SUM(G84:G89)</f>
        <v>0</v>
      </c>
      <c r="O90" s="268">
        <v>4</v>
      </c>
      <c r="BA90" s="269">
        <f>SUM(BA84:BA89)</f>
        <v>0</v>
      </c>
      <c r="BB90" s="269">
        <f>SUM(BB84:BB89)</f>
        <v>0</v>
      </c>
      <c r="BC90" s="269">
        <f>SUM(BC84:BC89)</f>
        <v>0</v>
      </c>
      <c r="BD90" s="269">
        <f>SUM(BD84:BD89)</f>
        <v>0</v>
      </c>
      <c r="BE90" s="269">
        <f>SUM(BE84:BE89)</f>
        <v>0</v>
      </c>
    </row>
    <row r="91" ht="12.75">
      <c r="E91" s="266"/>
    </row>
    <row r="92" ht="12.75">
      <c r="E92" s="266"/>
    </row>
    <row r="93" ht="12.75">
      <c r="E93" s="266"/>
    </row>
    <row r="94" ht="12.75">
      <c r="E94" s="266"/>
    </row>
    <row r="95" ht="12.75">
      <c r="E95" s="266"/>
    </row>
    <row r="96" ht="12.75">
      <c r="E96" s="266"/>
    </row>
    <row r="97" ht="12.75">
      <c r="E97" s="266"/>
    </row>
    <row r="98" ht="12.75">
      <c r="E98" s="266"/>
    </row>
    <row r="99" ht="12.75">
      <c r="E99" s="266"/>
    </row>
    <row r="100" ht="12.75">
      <c r="E100" s="266"/>
    </row>
    <row r="101" ht="12.75">
      <c r="E101" s="266"/>
    </row>
    <row r="102" ht="12.75">
      <c r="E102" s="266"/>
    </row>
    <row r="103" ht="12.75">
      <c r="E103" s="266"/>
    </row>
    <row r="104" ht="12.75">
      <c r="E104" s="266"/>
    </row>
    <row r="105" ht="12.75">
      <c r="E105" s="266"/>
    </row>
    <row r="106" ht="12.75">
      <c r="E106" s="266"/>
    </row>
    <row r="107" ht="12.75">
      <c r="E107" s="266"/>
    </row>
    <row r="108" ht="12.75">
      <c r="E108" s="266"/>
    </row>
    <row r="109" ht="12.75">
      <c r="E109" s="266"/>
    </row>
    <row r="110" ht="12.75">
      <c r="E110" s="266"/>
    </row>
    <row r="111" ht="12.75">
      <c r="E111" s="266"/>
    </row>
    <row r="112" ht="12.75">
      <c r="E112" s="266"/>
    </row>
    <row r="113" ht="12.75">
      <c r="E113" s="266"/>
    </row>
    <row r="114" spans="1:7" ht="12.75">
      <c r="A114" s="270"/>
      <c r="B114" s="270"/>
      <c r="C114" s="270"/>
      <c r="D114" s="270"/>
      <c r="E114" s="270"/>
      <c r="F114" s="270"/>
      <c r="G114" s="270"/>
    </row>
    <row r="115" spans="1:7" ht="12.75">
      <c r="A115" s="270"/>
      <c r="B115" s="270"/>
      <c r="C115" s="270"/>
      <c r="D115" s="270"/>
      <c r="E115" s="270"/>
      <c r="F115" s="270"/>
      <c r="G115" s="270"/>
    </row>
    <row r="116" spans="1:7" ht="12.75">
      <c r="A116" s="270"/>
      <c r="B116" s="270"/>
      <c r="C116" s="270"/>
      <c r="D116" s="270"/>
      <c r="E116" s="270"/>
      <c r="F116" s="270"/>
      <c r="G116" s="270"/>
    </row>
    <row r="117" spans="1:7" ht="12.75">
      <c r="A117" s="270"/>
      <c r="B117" s="270"/>
      <c r="C117" s="270"/>
      <c r="D117" s="270"/>
      <c r="E117" s="270"/>
      <c r="F117" s="270"/>
      <c r="G117" s="270"/>
    </row>
    <row r="118" ht="12.75">
      <c r="E118" s="266"/>
    </row>
    <row r="119" ht="12.75">
      <c r="E119" s="266"/>
    </row>
    <row r="120" ht="12.75">
      <c r="E120" s="266"/>
    </row>
    <row r="121" ht="12.75">
      <c r="E121" s="266"/>
    </row>
    <row r="122" ht="12.75">
      <c r="E122" s="266"/>
    </row>
    <row r="123" ht="12.75">
      <c r="E123" s="266"/>
    </row>
    <row r="124" ht="12.75">
      <c r="E124" s="266"/>
    </row>
    <row r="125" ht="12.75">
      <c r="E125" s="266"/>
    </row>
    <row r="126" ht="12.75">
      <c r="E126" s="266"/>
    </row>
    <row r="127" ht="12.75">
      <c r="E127" s="266"/>
    </row>
    <row r="128" ht="12.75">
      <c r="E128" s="266"/>
    </row>
    <row r="129" ht="12.75">
      <c r="E129" s="266"/>
    </row>
    <row r="130" ht="12.75">
      <c r="E130" s="266"/>
    </row>
    <row r="131" ht="12.75">
      <c r="E131" s="266"/>
    </row>
    <row r="132" ht="12.75">
      <c r="E132" s="266"/>
    </row>
    <row r="133" ht="12.75">
      <c r="E133" s="266"/>
    </row>
    <row r="134" ht="12.75">
      <c r="E134" s="266"/>
    </row>
    <row r="135" ht="12.75">
      <c r="E135" s="266"/>
    </row>
    <row r="136" ht="12.75">
      <c r="E136" s="266"/>
    </row>
    <row r="137" ht="12.75">
      <c r="E137" s="266"/>
    </row>
    <row r="138" ht="12.75">
      <c r="E138" s="266"/>
    </row>
    <row r="139" ht="12.75">
      <c r="E139" s="266"/>
    </row>
    <row r="140" ht="12.75">
      <c r="E140" s="266"/>
    </row>
    <row r="141" ht="12.75">
      <c r="E141" s="266"/>
    </row>
    <row r="142" ht="12.75">
      <c r="E142" s="266"/>
    </row>
    <row r="143" ht="12.75">
      <c r="E143" s="266"/>
    </row>
    <row r="144" ht="12.75">
      <c r="E144" s="266"/>
    </row>
    <row r="145" ht="12.75">
      <c r="E145" s="266"/>
    </row>
    <row r="146" ht="12.75">
      <c r="E146" s="266"/>
    </row>
    <row r="147" ht="12.75">
      <c r="E147" s="266"/>
    </row>
    <row r="148" ht="12.75">
      <c r="E148" s="266"/>
    </row>
    <row r="149" spans="1:2" ht="12.75">
      <c r="A149" s="271"/>
      <c r="B149" s="271"/>
    </row>
    <row r="150" spans="1:7" ht="12.75">
      <c r="A150" s="270"/>
      <c r="B150" s="270"/>
      <c r="C150" s="273"/>
      <c r="D150" s="273"/>
      <c r="E150" s="274"/>
      <c r="F150" s="273"/>
      <c r="G150" s="275"/>
    </row>
    <row r="151" spans="1:7" ht="12.75">
      <c r="A151" s="276"/>
      <c r="B151" s="276"/>
      <c r="C151" s="270"/>
      <c r="D151" s="270"/>
      <c r="E151" s="277"/>
      <c r="F151" s="270"/>
      <c r="G151" s="270"/>
    </row>
    <row r="152" spans="1:7" ht="12.75">
      <c r="A152" s="270"/>
      <c r="B152" s="270"/>
      <c r="C152" s="270"/>
      <c r="D152" s="270"/>
      <c r="E152" s="277"/>
      <c r="F152" s="270"/>
      <c r="G152" s="270"/>
    </row>
    <row r="153" spans="1:7" ht="12.75">
      <c r="A153" s="270"/>
      <c r="B153" s="270"/>
      <c r="C153" s="270"/>
      <c r="D153" s="270"/>
      <c r="E153" s="277"/>
      <c r="F153" s="270"/>
      <c r="G153" s="270"/>
    </row>
    <row r="154" spans="1:7" ht="12.75">
      <c r="A154" s="270"/>
      <c r="B154" s="270"/>
      <c r="C154" s="270"/>
      <c r="D154" s="270"/>
      <c r="E154" s="277"/>
      <c r="F154" s="270"/>
      <c r="G154" s="270"/>
    </row>
    <row r="155" spans="1:7" ht="12.75">
      <c r="A155" s="270"/>
      <c r="B155" s="270"/>
      <c r="C155" s="270"/>
      <c r="D155" s="270"/>
      <c r="E155" s="277"/>
      <c r="F155" s="270"/>
      <c r="G155" s="270"/>
    </row>
    <row r="156" spans="1:7" ht="12.75">
      <c r="A156" s="270"/>
      <c r="B156" s="270"/>
      <c r="C156" s="270"/>
      <c r="D156" s="270"/>
      <c r="E156" s="277"/>
      <c r="F156" s="270"/>
      <c r="G156" s="270"/>
    </row>
    <row r="157" spans="1:7" ht="12.75">
      <c r="A157" s="270"/>
      <c r="B157" s="270"/>
      <c r="C157" s="270"/>
      <c r="D157" s="270"/>
      <c r="E157" s="277"/>
      <c r="F157" s="270"/>
      <c r="G157" s="270"/>
    </row>
    <row r="158" spans="1:7" ht="12.75">
      <c r="A158" s="270"/>
      <c r="B158" s="270"/>
      <c r="C158" s="270"/>
      <c r="D158" s="270"/>
      <c r="E158" s="277"/>
      <c r="F158" s="270"/>
      <c r="G158" s="270"/>
    </row>
    <row r="159" spans="1:7" ht="12.75">
      <c r="A159" s="270"/>
      <c r="B159" s="270"/>
      <c r="C159" s="270"/>
      <c r="D159" s="270"/>
      <c r="E159" s="277"/>
      <c r="F159" s="270"/>
      <c r="G159" s="270"/>
    </row>
    <row r="160" spans="1:7" ht="12.75">
      <c r="A160" s="270"/>
      <c r="B160" s="270"/>
      <c r="C160" s="270"/>
      <c r="D160" s="270"/>
      <c r="E160" s="277"/>
      <c r="F160" s="270"/>
      <c r="G160" s="270"/>
    </row>
    <row r="161" spans="1:7" ht="12.75">
      <c r="A161" s="270"/>
      <c r="B161" s="270"/>
      <c r="C161" s="270"/>
      <c r="D161" s="270"/>
      <c r="E161" s="277"/>
      <c r="F161" s="270"/>
      <c r="G161" s="270"/>
    </row>
    <row r="162" spans="1:7" ht="12.75">
      <c r="A162" s="270"/>
      <c r="B162" s="270"/>
      <c r="C162" s="270"/>
      <c r="D162" s="270"/>
      <c r="E162" s="277"/>
      <c r="F162" s="270"/>
      <c r="G162" s="270"/>
    </row>
    <row r="163" spans="1:7" ht="12.75">
      <c r="A163" s="270"/>
      <c r="B163" s="270"/>
      <c r="C163" s="270"/>
      <c r="D163" s="270"/>
      <c r="E163" s="277"/>
      <c r="F163" s="270"/>
      <c r="G163" s="270"/>
    </row>
  </sheetData>
  <mergeCells count="44">
    <mergeCell ref="C80:D80"/>
    <mergeCell ref="C81:D81"/>
    <mergeCell ref="C63:D63"/>
    <mergeCell ref="C64:D64"/>
    <mergeCell ref="C71:D71"/>
    <mergeCell ref="C72:D72"/>
    <mergeCell ref="C74:D74"/>
    <mergeCell ref="C79:D79"/>
    <mergeCell ref="C61:D61"/>
    <mergeCell ref="C43:D43"/>
    <mergeCell ref="C45:D45"/>
    <mergeCell ref="C49:D49"/>
    <mergeCell ref="C50:D50"/>
    <mergeCell ref="C51:D51"/>
    <mergeCell ref="C53:D53"/>
    <mergeCell ref="C54:D54"/>
    <mergeCell ref="C55:D55"/>
    <mergeCell ref="C57:D57"/>
    <mergeCell ref="C58:D58"/>
    <mergeCell ref="C60:D60"/>
    <mergeCell ref="C39:D39"/>
    <mergeCell ref="C21:D21"/>
    <mergeCell ref="C22:D22"/>
    <mergeCell ref="C24:D24"/>
    <mergeCell ref="C25:D25"/>
    <mergeCell ref="C27:G27"/>
    <mergeCell ref="C28:D28"/>
    <mergeCell ref="C30:D30"/>
    <mergeCell ref="C31:D31"/>
    <mergeCell ref="C32:D32"/>
    <mergeCell ref="C34:D34"/>
    <mergeCell ref="C35:D35"/>
    <mergeCell ref="C20:D20"/>
    <mergeCell ref="A1:G1"/>
    <mergeCell ref="A3:B3"/>
    <mergeCell ref="A4:B4"/>
    <mergeCell ref="E4:G4"/>
    <mergeCell ref="C10:D10"/>
    <mergeCell ref="C11:D11"/>
    <mergeCell ref="C14:G14"/>
    <mergeCell ref="C15:D15"/>
    <mergeCell ref="C17:D17"/>
    <mergeCell ref="C18:D18"/>
    <mergeCell ref="C19:D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89" t="s">
        <v>126</v>
      </c>
      <c r="B1" s="188"/>
      <c r="C1" s="188"/>
      <c r="D1" s="188"/>
      <c r="E1" s="188"/>
      <c r="F1" s="188"/>
      <c r="G1" s="188"/>
    </row>
    <row r="2" spans="1:7" ht="12.75" customHeight="1">
      <c r="A2" s="187" t="s">
        <v>125</v>
      </c>
      <c r="B2" s="186"/>
      <c r="C2" s="185">
        <f>'[2]Rekapitulace'!H1</f>
        <v>0</v>
      </c>
      <c r="D2" s="185">
        <f>'[2]Rekapitulace'!G2</f>
        <v>0</v>
      </c>
      <c r="E2" s="184"/>
      <c r="F2" s="183" t="s">
        <v>124</v>
      </c>
      <c r="G2" s="182"/>
    </row>
    <row r="3" spans="1:7" ht="3" customHeight="1" hidden="1">
      <c r="A3" s="133"/>
      <c r="B3" s="151"/>
      <c r="C3" s="174"/>
      <c r="D3" s="174"/>
      <c r="E3" s="173"/>
      <c r="F3" s="155"/>
      <c r="G3" s="176"/>
    </row>
    <row r="4" spans="1:7" ht="12" customHeight="1">
      <c r="A4" s="175" t="s">
        <v>123</v>
      </c>
      <c r="B4" s="151"/>
      <c r="C4" s="174" t="s">
        <v>280</v>
      </c>
      <c r="D4" s="174"/>
      <c r="E4" s="173"/>
      <c r="F4" s="155" t="s">
        <v>122</v>
      </c>
      <c r="G4" s="181"/>
    </row>
    <row r="5" spans="1:7" ht="12.9" customHeight="1">
      <c r="A5" s="180" t="s">
        <v>315</v>
      </c>
      <c r="B5" s="177"/>
      <c r="C5" s="179" t="s">
        <v>316</v>
      </c>
      <c r="D5" s="178"/>
      <c r="E5" s="177"/>
      <c r="F5" s="155" t="s">
        <v>121</v>
      </c>
      <c r="G5" s="176"/>
    </row>
    <row r="6" spans="1:15" ht="12.9" customHeight="1">
      <c r="A6" s="175" t="s">
        <v>120</v>
      </c>
      <c r="B6" s="151"/>
      <c r="C6" s="174" t="s">
        <v>281</v>
      </c>
      <c r="D6" s="174"/>
      <c r="E6" s="173"/>
      <c r="F6" s="172" t="s">
        <v>119</v>
      </c>
      <c r="G6" s="165">
        <v>0</v>
      </c>
      <c r="O6" s="253"/>
    </row>
    <row r="7" spans="1:7" ht="12.9" customHeight="1">
      <c r="A7" s="170" t="s">
        <v>12</v>
      </c>
      <c r="B7" s="169"/>
      <c r="C7" s="168" t="s">
        <v>13</v>
      </c>
      <c r="D7" s="167"/>
      <c r="E7" s="167"/>
      <c r="F7" s="166" t="s">
        <v>118</v>
      </c>
      <c r="G7" s="165">
        <f>IF(PocetMJ=0,,ROUND((F30+F32)/PocetMJ,1))</f>
        <v>0</v>
      </c>
    </row>
    <row r="8" spans="1:9" ht="12.75">
      <c r="A8" s="156" t="s">
        <v>117</v>
      </c>
      <c r="B8" s="155"/>
      <c r="C8" s="1570"/>
      <c r="D8" s="1570"/>
      <c r="E8" s="1571"/>
      <c r="F8" s="164" t="s">
        <v>116</v>
      </c>
      <c r="G8" s="163"/>
      <c r="H8" s="254"/>
      <c r="I8" s="255"/>
    </row>
    <row r="9" spans="1:8" ht="12.75">
      <c r="A9" s="156" t="s">
        <v>115</v>
      </c>
      <c r="B9" s="155"/>
      <c r="C9" s="1570">
        <f>Projektant</f>
        <v>0</v>
      </c>
      <c r="D9" s="1570"/>
      <c r="E9" s="1571"/>
      <c r="F9" s="155"/>
      <c r="G9" s="160"/>
      <c r="H9" s="256"/>
    </row>
    <row r="10" spans="1:8" ht="12.75">
      <c r="A10" s="156" t="s">
        <v>114</v>
      </c>
      <c r="B10" s="155"/>
      <c r="C10" s="1570"/>
      <c r="D10" s="1570"/>
      <c r="E10" s="1570"/>
      <c r="F10" s="159"/>
      <c r="G10" s="158"/>
      <c r="H10" s="257"/>
    </row>
    <row r="11" spans="1:57" ht="13.5" customHeight="1">
      <c r="A11" s="156" t="s">
        <v>113</v>
      </c>
      <c r="B11" s="155"/>
      <c r="C11" s="1570"/>
      <c r="D11" s="1570"/>
      <c r="E11" s="1570"/>
      <c r="F11" s="154" t="s">
        <v>112</v>
      </c>
      <c r="G11" s="153"/>
      <c r="H11" s="256"/>
      <c r="BA11" s="258"/>
      <c r="BB11" s="258"/>
      <c r="BC11" s="258"/>
      <c r="BD11" s="258"/>
      <c r="BE11" s="258"/>
    </row>
    <row r="12" spans="1:8" ht="12.75" customHeight="1">
      <c r="A12" s="152" t="s">
        <v>111</v>
      </c>
      <c r="B12" s="151"/>
      <c r="C12" s="1572"/>
      <c r="D12" s="1572"/>
      <c r="E12" s="1572"/>
      <c r="F12" s="150" t="s">
        <v>110</v>
      </c>
      <c r="G12" s="149"/>
      <c r="H12" s="256"/>
    </row>
    <row r="13" spans="1:8" ht="28.5" customHeight="1" thickBot="1">
      <c r="A13" s="148" t="s">
        <v>109</v>
      </c>
      <c r="B13" s="147"/>
      <c r="C13" s="147"/>
      <c r="D13" s="147"/>
      <c r="E13" s="146"/>
      <c r="F13" s="146"/>
      <c r="G13" s="145"/>
      <c r="H13" s="256"/>
    </row>
    <row r="14" spans="1:7" ht="17.25" customHeight="1" thickBot="1">
      <c r="A14" s="144" t="s">
        <v>108</v>
      </c>
      <c r="B14" s="143"/>
      <c r="C14" s="140"/>
      <c r="D14" s="142" t="s">
        <v>107</v>
      </c>
      <c r="E14" s="141"/>
      <c r="F14" s="141"/>
      <c r="G14" s="140"/>
    </row>
    <row r="15" spans="1:7" ht="15.9" customHeight="1">
      <c r="A15" s="136"/>
      <c r="B15" s="62" t="s">
        <v>106</v>
      </c>
      <c r="C15" s="127">
        <v>0</v>
      </c>
      <c r="D15" s="139" t="str">
        <f>'[2]Rekapitulace'!A13</f>
        <v>Ztížené výrobní podmínky</v>
      </c>
      <c r="E15" s="138"/>
      <c r="F15" s="137"/>
      <c r="G15" s="127">
        <v>0</v>
      </c>
    </row>
    <row r="16" spans="1:7" ht="15.9" customHeight="1">
      <c r="A16" s="136" t="s">
        <v>105</v>
      </c>
      <c r="B16" s="62" t="s">
        <v>104</v>
      </c>
      <c r="C16" s="127">
        <v>0</v>
      </c>
      <c r="D16" s="133" t="str">
        <f>'[2]Rekapitulace'!A14</f>
        <v>Oborová přirážka</v>
      </c>
      <c r="E16" s="132"/>
      <c r="F16" s="108"/>
      <c r="G16" s="127">
        <v>0</v>
      </c>
    </row>
    <row r="17" spans="1:7" ht="15.9" customHeight="1">
      <c r="A17" s="136" t="s">
        <v>103</v>
      </c>
      <c r="B17" s="62" t="s">
        <v>102</v>
      </c>
      <c r="C17" s="127">
        <v>0</v>
      </c>
      <c r="D17" s="133" t="str">
        <f>'[2]Rekapitulace'!A15</f>
        <v>Přesun stavebních kapacit</v>
      </c>
      <c r="E17" s="132"/>
      <c r="F17" s="108"/>
      <c r="G17" s="127">
        <v>0</v>
      </c>
    </row>
    <row r="18" spans="1:7" ht="15.9" customHeight="1">
      <c r="A18" s="135" t="s">
        <v>101</v>
      </c>
      <c r="B18" s="134" t="s">
        <v>100</v>
      </c>
      <c r="C18" s="127">
        <v>0</v>
      </c>
      <c r="D18" s="133" t="str">
        <f>'[2]Rekapitulace'!A16</f>
        <v>Mimostaveništní doprava</v>
      </c>
      <c r="E18" s="132"/>
      <c r="F18" s="108"/>
      <c r="G18" s="127">
        <v>0</v>
      </c>
    </row>
    <row r="19" spans="1:7" ht="15.9" customHeight="1">
      <c r="A19" s="63" t="s">
        <v>99</v>
      </c>
      <c r="B19" s="62"/>
      <c r="C19" s="127">
        <v>0</v>
      </c>
      <c r="D19" s="133" t="str">
        <f>'[2]Rekapitulace'!A17</f>
        <v>Zařízení staveniště</v>
      </c>
      <c r="E19" s="132"/>
      <c r="F19" s="108"/>
      <c r="G19" s="127">
        <v>0</v>
      </c>
    </row>
    <row r="20" spans="1:7" ht="15.9" customHeight="1">
      <c r="A20" s="63"/>
      <c r="B20" s="62"/>
      <c r="C20" s="127"/>
      <c r="D20" s="133" t="str">
        <f>'[2]Rekapitulace'!A18</f>
        <v>Provoz investora</v>
      </c>
      <c r="E20" s="132"/>
      <c r="F20" s="108"/>
      <c r="G20" s="127">
        <v>0</v>
      </c>
    </row>
    <row r="21" spans="1:7" ht="15.9" customHeight="1">
      <c r="A21" s="63" t="s">
        <v>70</v>
      </c>
      <c r="B21" s="62"/>
      <c r="C21" s="127">
        <v>0</v>
      </c>
      <c r="D21" s="133" t="str">
        <f>'[2]Rekapitulace'!A19</f>
        <v>Kompletační činnost (IČD)</v>
      </c>
      <c r="E21" s="132"/>
      <c r="F21" s="108"/>
      <c r="G21" s="127">
        <v>0</v>
      </c>
    </row>
    <row r="22" spans="1:7" ht="15.9" customHeight="1">
      <c r="A22" s="118" t="s">
        <v>98</v>
      </c>
      <c r="B22" s="74"/>
      <c r="C22" s="127">
        <v>0</v>
      </c>
      <c r="D22" s="133" t="s">
        <v>97</v>
      </c>
      <c r="E22" s="132"/>
      <c r="F22" s="108"/>
      <c r="G22" s="127">
        <v>0</v>
      </c>
    </row>
    <row r="23" spans="1:7" ht="15.9" customHeight="1" thickBot="1">
      <c r="A23" s="1568" t="s">
        <v>96</v>
      </c>
      <c r="B23" s="1569"/>
      <c r="C23" s="131">
        <v>0</v>
      </c>
      <c r="D23" s="130" t="s">
        <v>95</v>
      </c>
      <c r="E23" s="129"/>
      <c r="F23" s="128"/>
      <c r="G23" s="127">
        <v>0</v>
      </c>
    </row>
    <row r="24" spans="1:7" ht="12.75">
      <c r="A24" s="71" t="s">
        <v>94</v>
      </c>
      <c r="B24" s="70"/>
      <c r="C24" s="126"/>
      <c r="D24" s="70" t="s">
        <v>93</v>
      </c>
      <c r="E24" s="70"/>
      <c r="F24" s="125" t="s">
        <v>92</v>
      </c>
      <c r="G24" s="124"/>
    </row>
    <row r="25" spans="1:7" ht="12.75">
      <c r="A25" s="118" t="s">
        <v>91</v>
      </c>
      <c r="B25" s="74"/>
      <c r="C25" s="120"/>
      <c r="D25" s="74" t="s">
        <v>91</v>
      </c>
      <c r="E25" s="1"/>
      <c r="F25" s="121" t="s">
        <v>91</v>
      </c>
      <c r="G25" s="115"/>
    </row>
    <row r="26" spans="1:7" ht="37.5" customHeight="1">
      <c r="A26" s="118" t="s">
        <v>90</v>
      </c>
      <c r="B26" s="123"/>
      <c r="C26" s="120"/>
      <c r="D26" s="74" t="s">
        <v>90</v>
      </c>
      <c r="E26" s="1"/>
      <c r="F26" s="121" t="s">
        <v>90</v>
      </c>
      <c r="G26" s="115"/>
    </row>
    <row r="27" spans="1:7" ht="12.75">
      <c r="A27" s="118"/>
      <c r="B27" s="122"/>
      <c r="C27" s="120"/>
      <c r="D27" s="74"/>
      <c r="E27" s="1"/>
      <c r="F27" s="121"/>
      <c r="G27" s="115"/>
    </row>
    <row r="28" spans="1:7" ht="12.75">
      <c r="A28" s="118" t="s">
        <v>89</v>
      </c>
      <c r="B28" s="74"/>
      <c r="C28" s="120"/>
      <c r="D28" s="121" t="s">
        <v>88</v>
      </c>
      <c r="E28" s="120"/>
      <c r="F28" s="119" t="s">
        <v>88</v>
      </c>
      <c r="G28" s="115"/>
    </row>
    <row r="29" spans="1:7" ht="69" customHeight="1">
      <c r="A29" s="118"/>
      <c r="B29" s="74"/>
      <c r="C29" s="116"/>
      <c r="D29" s="117"/>
      <c r="E29" s="116"/>
      <c r="F29" s="74"/>
      <c r="G29" s="115"/>
    </row>
    <row r="30" spans="1:7" ht="12.75">
      <c r="A30" s="112" t="s">
        <v>8</v>
      </c>
      <c r="B30" s="109"/>
      <c r="C30" s="114">
        <v>21</v>
      </c>
      <c r="D30" s="109" t="s">
        <v>87</v>
      </c>
      <c r="E30" s="113"/>
      <c r="F30" s="1574">
        <f>C23-F32</f>
        <v>0</v>
      </c>
      <c r="G30" s="1575"/>
    </row>
    <row r="31" spans="1:7" ht="12.75">
      <c r="A31" s="112" t="s">
        <v>86</v>
      </c>
      <c r="B31" s="109"/>
      <c r="C31" s="114">
        <f>SazbaDPH1</f>
        <v>21</v>
      </c>
      <c r="D31" s="109" t="s">
        <v>85</v>
      </c>
      <c r="E31" s="113"/>
      <c r="F31" s="1574">
        <f>ROUND(PRODUCT(F30,C31/100),0)</f>
        <v>0</v>
      </c>
      <c r="G31" s="1575"/>
    </row>
    <row r="32" spans="1:7" ht="12.75">
      <c r="A32" s="112" t="s">
        <v>8</v>
      </c>
      <c r="B32" s="109"/>
      <c r="C32" s="114">
        <v>0</v>
      </c>
      <c r="D32" s="109" t="s">
        <v>85</v>
      </c>
      <c r="E32" s="113"/>
      <c r="F32" s="1574">
        <v>0</v>
      </c>
      <c r="G32" s="1575"/>
    </row>
    <row r="33" spans="1:7" ht="12.75">
      <c r="A33" s="112" t="s">
        <v>86</v>
      </c>
      <c r="B33" s="111"/>
      <c r="C33" s="110">
        <f>SazbaDPH2</f>
        <v>0</v>
      </c>
      <c r="D33" s="109" t="s">
        <v>85</v>
      </c>
      <c r="E33" s="108"/>
      <c r="F33" s="1574">
        <f>ROUND(PRODUCT(F32,C33/100),0)</f>
        <v>0</v>
      </c>
      <c r="G33" s="1575"/>
    </row>
    <row r="34" spans="1:7" s="259" customFormat="1" ht="19.5" customHeight="1" thickBot="1">
      <c r="A34" s="107" t="s">
        <v>84</v>
      </c>
      <c r="B34" s="106"/>
      <c r="C34" s="106"/>
      <c r="D34" s="106"/>
      <c r="E34" s="105"/>
      <c r="F34" s="1576">
        <f>ROUND(SUM(F30:F33),0)</f>
        <v>0</v>
      </c>
      <c r="G34" s="1577"/>
    </row>
    <row r="36" spans="1:8" ht="12.75">
      <c r="A36" s="260" t="s">
        <v>83</v>
      </c>
      <c r="B36" s="260"/>
      <c r="C36" s="260"/>
      <c r="D36" s="260"/>
      <c r="E36" s="260"/>
      <c r="F36" s="260"/>
      <c r="G36" s="260"/>
      <c r="H36" t="s">
        <v>1</v>
      </c>
    </row>
    <row r="37" spans="1:8" ht="14.25" customHeight="1">
      <c r="A37" s="260"/>
      <c r="B37" s="1599"/>
      <c r="C37" s="1599"/>
      <c r="D37" s="1599"/>
      <c r="E37" s="1599"/>
      <c r="F37" s="1599"/>
      <c r="G37" s="1599"/>
      <c r="H37" t="s">
        <v>1</v>
      </c>
    </row>
    <row r="38" spans="1:8" ht="12.75" customHeight="1">
      <c r="A38" s="261"/>
      <c r="B38" s="1599"/>
      <c r="C38" s="1599"/>
      <c r="D38" s="1599"/>
      <c r="E38" s="1599"/>
      <c r="F38" s="1599"/>
      <c r="G38" s="1599"/>
      <c r="H38" t="s">
        <v>1</v>
      </c>
    </row>
    <row r="39" spans="1:8" ht="12.75">
      <c r="A39" s="261"/>
      <c r="B39" s="1599"/>
      <c r="C39" s="1599"/>
      <c r="D39" s="1599"/>
      <c r="E39" s="1599"/>
      <c r="F39" s="1599"/>
      <c r="G39" s="1599"/>
      <c r="H39" t="s">
        <v>1</v>
      </c>
    </row>
    <row r="40" spans="1:8" ht="12.75">
      <c r="A40" s="261"/>
      <c r="B40" s="1599"/>
      <c r="C40" s="1599"/>
      <c r="D40" s="1599"/>
      <c r="E40" s="1599"/>
      <c r="F40" s="1599"/>
      <c r="G40" s="1599"/>
      <c r="H40" t="s">
        <v>1</v>
      </c>
    </row>
    <row r="41" spans="1:8" ht="12.75">
      <c r="A41" s="261"/>
      <c r="B41" s="1599"/>
      <c r="C41" s="1599"/>
      <c r="D41" s="1599"/>
      <c r="E41" s="1599"/>
      <c r="F41" s="1599"/>
      <c r="G41" s="1599"/>
      <c r="H41" t="s">
        <v>1</v>
      </c>
    </row>
    <row r="42" spans="1:8" ht="12.75">
      <c r="A42" s="261"/>
      <c r="B42" s="1599"/>
      <c r="C42" s="1599"/>
      <c r="D42" s="1599"/>
      <c r="E42" s="1599"/>
      <c r="F42" s="1599"/>
      <c r="G42" s="1599"/>
      <c r="H42" t="s">
        <v>1</v>
      </c>
    </row>
    <row r="43" spans="1:8" ht="12.75">
      <c r="A43" s="261"/>
      <c r="B43" s="1599"/>
      <c r="C43" s="1599"/>
      <c r="D43" s="1599"/>
      <c r="E43" s="1599"/>
      <c r="F43" s="1599"/>
      <c r="G43" s="1599"/>
      <c r="H43" t="s">
        <v>1</v>
      </c>
    </row>
    <row r="44" spans="1:8" ht="12.75">
      <c r="A44" s="261"/>
      <c r="B44" s="1599"/>
      <c r="C44" s="1599"/>
      <c r="D44" s="1599"/>
      <c r="E44" s="1599"/>
      <c r="F44" s="1599"/>
      <c r="G44" s="1599"/>
      <c r="H44" t="s">
        <v>1</v>
      </c>
    </row>
    <row r="45" spans="1:8" ht="0.75" customHeight="1">
      <c r="A45" s="261"/>
      <c r="B45" s="1599"/>
      <c r="C45" s="1599"/>
      <c r="D45" s="1599"/>
      <c r="E45" s="1599"/>
      <c r="F45" s="1599"/>
      <c r="G45" s="1599"/>
      <c r="H45" t="s">
        <v>1</v>
      </c>
    </row>
    <row r="46" spans="2:7" ht="12.75">
      <c r="B46" s="1600"/>
      <c r="C46" s="1600"/>
      <c r="D46" s="1600"/>
      <c r="E46" s="1600"/>
      <c r="F46" s="1600"/>
      <c r="G46" s="1600"/>
    </row>
    <row r="47" spans="2:7" ht="12.75">
      <c r="B47" s="1600"/>
      <c r="C47" s="1600"/>
      <c r="D47" s="1600"/>
      <c r="E47" s="1600"/>
      <c r="F47" s="1600"/>
      <c r="G47" s="1600"/>
    </row>
    <row r="48" spans="2:7" ht="12.75">
      <c r="B48" s="1600"/>
      <c r="C48" s="1600"/>
      <c r="D48" s="1600"/>
      <c r="E48" s="1600"/>
      <c r="F48" s="1600"/>
      <c r="G48" s="1600"/>
    </row>
    <row r="49" spans="2:7" ht="12.75">
      <c r="B49" s="1600"/>
      <c r="C49" s="1600"/>
      <c r="D49" s="1600"/>
      <c r="E49" s="1600"/>
      <c r="F49" s="1600"/>
      <c r="G49" s="1600"/>
    </row>
    <row r="50" spans="2:7" ht="12.75">
      <c r="B50" s="1600"/>
      <c r="C50" s="1600"/>
      <c r="D50" s="1600"/>
      <c r="E50" s="1600"/>
      <c r="F50" s="1600"/>
      <c r="G50" s="1600"/>
    </row>
    <row r="51" spans="2:7" ht="12.75">
      <c r="B51" s="1600"/>
      <c r="C51" s="1600"/>
      <c r="D51" s="1600"/>
      <c r="E51" s="1600"/>
      <c r="F51" s="1600"/>
      <c r="G51" s="1600"/>
    </row>
    <row r="52" spans="2:7" ht="12.75">
      <c r="B52" s="1600"/>
      <c r="C52" s="1600"/>
      <c r="D52" s="1600"/>
      <c r="E52" s="1600"/>
      <c r="F52" s="1600"/>
      <c r="G52" s="1600"/>
    </row>
    <row r="53" spans="2:7" ht="12.75">
      <c r="B53" s="1600"/>
      <c r="C53" s="1600"/>
      <c r="D53" s="1600"/>
      <c r="E53" s="1600"/>
      <c r="F53" s="1600"/>
      <c r="G53" s="1600"/>
    </row>
    <row r="54" spans="2:7" ht="12.75">
      <c r="B54" s="1600"/>
      <c r="C54" s="1600"/>
      <c r="D54" s="1600"/>
      <c r="E54" s="1600"/>
      <c r="F54" s="1600"/>
      <c r="G54" s="1600"/>
    </row>
    <row r="55" spans="2:7" ht="12.75">
      <c r="B55" s="1600"/>
      <c r="C55" s="1600"/>
      <c r="D55" s="1600"/>
      <c r="E55" s="1600"/>
      <c r="F55" s="1600"/>
      <c r="G55" s="160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E72"/>
  <sheetViews>
    <sheetView workbookViewId="0" topLeftCell="A1">
      <selection activeCell="A3" sqref="A1:A104857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579" t="s">
        <v>2</v>
      </c>
      <c r="B1" s="1580"/>
      <c r="C1" s="102" t="e">
        <f>CONCATENATE(cislostavby," ",nazevstavby)</f>
        <v>#REF!</v>
      </c>
      <c r="D1" s="100"/>
      <c r="E1" s="101"/>
      <c r="F1" s="100"/>
      <c r="G1" s="99" t="s">
        <v>81</v>
      </c>
      <c r="H1" s="98"/>
      <c r="I1" s="97"/>
    </row>
    <row r="2" spans="1:9" ht="13.8" thickBot="1">
      <c r="A2" s="1581" t="s">
        <v>79</v>
      </c>
      <c r="B2" s="1582"/>
      <c r="C2" s="96" t="e">
        <f>CONCATENATE(cisloobjektu," ",nazevobjektu)</f>
        <v>#REF!</v>
      </c>
      <c r="D2" s="94"/>
      <c r="E2" s="95"/>
      <c r="F2" s="94"/>
      <c r="G2" s="1583"/>
      <c r="H2" s="1584"/>
      <c r="I2" s="1585"/>
    </row>
    <row r="3" spans="1:9" ht="13.8" thickTop="1">
      <c r="A3" s="1"/>
      <c r="B3" s="1"/>
      <c r="C3" s="1"/>
      <c r="D3" s="1"/>
      <c r="E3" s="1"/>
      <c r="F3" s="74"/>
      <c r="G3" s="1"/>
      <c r="H3" s="1"/>
      <c r="I3" s="1"/>
    </row>
    <row r="4" spans="1:9" ht="19.5" customHeight="1">
      <c r="A4" s="93" t="s">
        <v>76</v>
      </c>
      <c r="B4" s="72"/>
      <c r="C4" s="72"/>
      <c r="D4" s="72"/>
      <c r="E4" s="92"/>
      <c r="F4" s="72"/>
      <c r="G4" s="72"/>
      <c r="H4" s="72"/>
      <c r="I4" s="72"/>
    </row>
    <row r="5" spans="1:9" ht="13.8" thickBot="1">
      <c r="A5" s="1"/>
      <c r="B5" s="1"/>
      <c r="C5" s="1"/>
      <c r="D5" s="1"/>
      <c r="E5" s="1"/>
      <c r="F5" s="1"/>
      <c r="G5" s="1"/>
      <c r="H5" s="1"/>
      <c r="I5" s="1"/>
    </row>
    <row r="6" spans="1:9" s="256" customFormat="1" ht="13.8" thickBot="1">
      <c r="A6" s="91"/>
      <c r="B6" s="90" t="s">
        <v>75</v>
      </c>
      <c r="C6" s="90"/>
      <c r="D6" s="89"/>
      <c r="E6" s="88" t="s">
        <v>74</v>
      </c>
      <c r="F6" s="87" t="s">
        <v>73</v>
      </c>
      <c r="G6" s="87" t="s">
        <v>72</v>
      </c>
      <c r="H6" s="87" t="s">
        <v>71</v>
      </c>
      <c r="I6" s="86" t="s">
        <v>70</v>
      </c>
    </row>
    <row r="7" spans="1:9" s="256" customFormat="1" ht="13.8" thickBot="1">
      <c r="A7" s="85" t="str">
        <f>'[2]Položky'!B7</f>
        <v>1</v>
      </c>
      <c r="B7" s="35" t="str">
        <f>'[2]Položky'!C7</f>
        <v>Zemní práce</v>
      </c>
      <c r="C7" s="74"/>
      <c r="D7" s="84"/>
      <c r="E7" s="83">
        <v>0</v>
      </c>
      <c r="F7" s="82">
        <v>0</v>
      </c>
      <c r="G7" s="82">
        <v>0</v>
      </c>
      <c r="H7" s="82">
        <v>0</v>
      </c>
      <c r="I7" s="81">
        <v>0</v>
      </c>
    </row>
    <row r="8" spans="1:9" s="262" customFormat="1" ht="13.8" thickBot="1">
      <c r="A8" s="80"/>
      <c r="B8" s="79" t="s">
        <v>69</v>
      </c>
      <c r="C8" s="79"/>
      <c r="D8" s="78"/>
      <c r="E8" s="77">
        <f>SUM(E7:E7)</f>
        <v>0</v>
      </c>
      <c r="F8" s="76">
        <f>SUM(F7:F7)</f>
        <v>0</v>
      </c>
      <c r="G8" s="76">
        <f>SUM(G7:G7)</f>
        <v>0</v>
      </c>
      <c r="H8" s="76">
        <f>SUM(H7:H7)</f>
        <v>0</v>
      </c>
      <c r="I8" s="75">
        <f>SUM(I7:I7)</f>
        <v>0</v>
      </c>
    </row>
    <row r="9" spans="1:9" ht="12.75">
      <c r="A9" s="74"/>
      <c r="B9" s="74"/>
      <c r="C9" s="74"/>
      <c r="D9" s="74"/>
      <c r="E9" s="74"/>
      <c r="F9" s="74"/>
      <c r="G9" s="74"/>
      <c r="H9" s="74"/>
      <c r="I9" s="74"/>
    </row>
    <row r="10" spans="1:57" ht="19.5" customHeight="1">
      <c r="A10" s="72" t="s">
        <v>68</v>
      </c>
      <c r="B10" s="72"/>
      <c r="C10" s="72"/>
      <c r="D10" s="72"/>
      <c r="E10" s="72"/>
      <c r="F10" s="72"/>
      <c r="G10" s="73"/>
      <c r="H10" s="72"/>
      <c r="I10" s="72"/>
      <c r="BA10" s="258"/>
      <c r="BB10" s="258"/>
      <c r="BC10" s="258"/>
      <c r="BD10" s="258"/>
      <c r="BE10" s="258"/>
    </row>
    <row r="11" spans="1:9" ht="13.8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71" t="s">
        <v>67</v>
      </c>
      <c r="B12" s="70"/>
      <c r="C12" s="70"/>
      <c r="D12" s="69"/>
      <c r="E12" s="68" t="s">
        <v>65</v>
      </c>
      <c r="F12" s="67" t="s">
        <v>9</v>
      </c>
      <c r="G12" s="66" t="s">
        <v>66</v>
      </c>
      <c r="H12" s="65"/>
      <c r="I12" s="64" t="s">
        <v>65</v>
      </c>
    </row>
    <row r="13" spans="1:53" ht="12.75">
      <c r="A13" s="63" t="s">
        <v>64</v>
      </c>
      <c r="B13" s="62"/>
      <c r="C13" s="62"/>
      <c r="D13" s="61"/>
      <c r="E13" s="60">
        <v>0</v>
      </c>
      <c r="F13" s="59">
        <v>0</v>
      </c>
      <c r="G13" s="58">
        <v>0</v>
      </c>
      <c r="H13" s="57"/>
      <c r="I13" s="56">
        <f aca="true" t="shared" si="0" ref="I13:I20">E13+F13*G13/100</f>
        <v>0</v>
      </c>
      <c r="BA13">
        <v>0</v>
      </c>
    </row>
    <row r="14" spans="1:53" ht="12.75">
      <c r="A14" s="63" t="s">
        <v>63</v>
      </c>
      <c r="B14" s="62"/>
      <c r="C14" s="62"/>
      <c r="D14" s="61"/>
      <c r="E14" s="60">
        <v>0</v>
      </c>
      <c r="F14" s="59">
        <v>0</v>
      </c>
      <c r="G14" s="58">
        <v>0</v>
      </c>
      <c r="H14" s="57"/>
      <c r="I14" s="56">
        <f t="shared" si="0"/>
        <v>0</v>
      </c>
      <c r="BA14">
        <v>0</v>
      </c>
    </row>
    <row r="15" spans="1:53" ht="12.75">
      <c r="A15" s="63" t="s">
        <v>62</v>
      </c>
      <c r="B15" s="62"/>
      <c r="C15" s="62"/>
      <c r="D15" s="61"/>
      <c r="E15" s="60">
        <v>0</v>
      </c>
      <c r="F15" s="59">
        <v>0</v>
      </c>
      <c r="G15" s="58">
        <v>0</v>
      </c>
      <c r="H15" s="57"/>
      <c r="I15" s="56">
        <f t="shared" si="0"/>
        <v>0</v>
      </c>
      <c r="BA15">
        <v>0</v>
      </c>
    </row>
    <row r="16" spans="1:53" ht="12.75">
      <c r="A16" s="63" t="s">
        <v>61</v>
      </c>
      <c r="B16" s="62"/>
      <c r="C16" s="62"/>
      <c r="D16" s="61"/>
      <c r="E16" s="60">
        <v>0</v>
      </c>
      <c r="F16" s="59">
        <v>0</v>
      </c>
      <c r="G16" s="58">
        <v>0</v>
      </c>
      <c r="H16" s="57"/>
      <c r="I16" s="56">
        <f t="shared" si="0"/>
        <v>0</v>
      </c>
      <c r="BA16">
        <v>0</v>
      </c>
    </row>
    <row r="17" spans="1:53" ht="12.75">
      <c r="A17" s="63" t="s">
        <v>60</v>
      </c>
      <c r="B17" s="62"/>
      <c r="C17" s="62"/>
      <c r="D17" s="61"/>
      <c r="E17" s="60">
        <v>0</v>
      </c>
      <c r="F17" s="59">
        <v>3</v>
      </c>
      <c r="G17" s="58">
        <v>0</v>
      </c>
      <c r="H17" s="57"/>
      <c r="I17" s="56">
        <f t="shared" si="0"/>
        <v>0</v>
      </c>
      <c r="BA17">
        <v>1</v>
      </c>
    </row>
    <row r="18" spans="1:53" ht="12.75">
      <c r="A18" s="63" t="s">
        <v>59</v>
      </c>
      <c r="B18" s="62"/>
      <c r="C18" s="62"/>
      <c r="D18" s="61"/>
      <c r="E18" s="60">
        <v>0</v>
      </c>
      <c r="F18" s="59">
        <v>0</v>
      </c>
      <c r="G18" s="58">
        <v>0</v>
      </c>
      <c r="H18" s="57"/>
      <c r="I18" s="56">
        <f t="shared" si="0"/>
        <v>0</v>
      </c>
      <c r="BA18">
        <v>1</v>
      </c>
    </row>
    <row r="19" spans="1:53" ht="12.75">
      <c r="A19" s="63" t="s">
        <v>58</v>
      </c>
      <c r="B19" s="62"/>
      <c r="C19" s="62"/>
      <c r="D19" s="61"/>
      <c r="E19" s="60">
        <v>0</v>
      </c>
      <c r="F19" s="59">
        <v>1.2</v>
      </c>
      <c r="G19" s="58">
        <v>0</v>
      </c>
      <c r="H19" s="57"/>
      <c r="I19" s="56">
        <f t="shared" si="0"/>
        <v>0</v>
      </c>
      <c r="BA19">
        <v>2</v>
      </c>
    </row>
    <row r="20" spans="1:53" ht="12.75">
      <c r="A20" s="63" t="s">
        <v>41</v>
      </c>
      <c r="B20" s="62"/>
      <c r="C20" s="62"/>
      <c r="D20" s="61"/>
      <c r="E20" s="60">
        <v>0</v>
      </c>
      <c r="F20" s="59">
        <v>0</v>
      </c>
      <c r="G20" s="58">
        <v>0</v>
      </c>
      <c r="H20" s="57"/>
      <c r="I20" s="56">
        <f t="shared" si="0"/>
        <v>0</v>
      </c>
      <c r="BA20">
        <v>2</v>
      </c>
    </row>
    <row r="21" spans="1:9" ht="13.8" thickBot="1">
      <c r="A21" s="55"/>
      <c r="B21" s="54" t="s">
        <v>57</v>
      </c>
      <c r="C21" s="53"/>
      <c r="D21" s="52"/>
      <c r="E21" s="51"/>
      <c r="F21" s="50"/>
      <c r="G21" s="50"/>
      <c r="H21" s="1586">
        <f>SUM(I13:I20)</f>
        <v>0</v>
      </c>
      <c r="I21" s="1587"/>
    </row>
    <row r="23" spans="2:9" ht="12.75">
      <c r="B23" s="262"/>
      <c r="F23" s="263"/>
      <c r="G23" s="264"/>
      <c r="H23" s="264"/>
      <c r="I23" s="265"/>
    </row>
    <row r="24" spans="6:9" ht="12.75">
      <c r="F24" s="263"/>
      <c r="G24" s="264"/>
      <c r="H24" s="264"/>
      <c r="I24" s="265"/>
    </row>
    <row r="25" spans="6:9" ht="12.75">
      <c r="F25" s="263"/>
      <c r="G25" s="264"/>
      <c r="H25" s="264"/>
      <c r="I25" s="265"/>
    </row>
    <row r="26" spans="6:9" ht="12.75">
      <c r="F26" s="263"/>
      <c r="G26" s="264"/>
      <c r="H26" s="264"/>
      <c r="I26" s="265"/>
    </row>
    <row r="27" spans="6:9" ht="12.75">
      <c r="F27" s="263"/>
      <c r="G27" s="264"/>
      <c r="H27" s="264"/>
      <c r="I27" s="265"/>
    </row>
    <row r="28" spans="6:9" ht="12.75">
      <c r="F28" s="263"/>
      <c r="G28" s="264"/>
      <c r="H28" s="264"/>
      <c r="I28" s="265"/>
    </row>
    <row r="29" spans="6:9" ht="12.75">
      <c r="F29" s="263"/>
      <c r="G29" s="264"/>
      <c r="H29" s="264"/>
      <c r="I29" s="265"/>
    </row>
    <row r="30" spans="6:9" ht="12.75">
      <c r="F30" s="263"/>
      <c r="G30" s="264"/>
      <c r="H30" s="264"/>
      <c r="I30" s="265"/>
    </row>
    <row r="31" spans="6:9" ht="12.75">
      <c r="F31" s="263"/>
      <c r="G31" s="264"/>
      <c r="H31" s="264"/>
      <c r="I31" s="265"/>
    </row>
    <row r="32" spans="6:9" ht="12.75">
      <c r="F32" s="263"/>
      <c r="G32" s="264"/>
      <c r="H32" s="264"/>
      <c r="I32" s="265"/>
    </row>
    <row r="33" spans="6:9" ht="12.75">
      <c r="F33" s="263"/>
      <c r="G33" s="264"/>
      <c r="H33" s="264"/>
      <c r="I33" s="265"/>
    </row>
    <row r="34" spans="6:9" ht="12.75">
      <c r="F34" s="263"/>
      <c r="G34" s="264"/>
      <c r="H34" s="264"/>
      <c r="I34" s="265"/>
    </row>
    <row r="35" spans="6:9" ht="12.75">
      <c r="F35" s="263"/>
      <c r="G35" s="264"/>
      <c r="H35" s="264"/>
      <c r="I35" s="265"/>
    </row>
    <row r="36" spans="6:9" ht="12.75">
      <c r="F36" s="263"/>
      <c r="G36" s="264"/>
      <c r="H36" s="264"/>
      <c r="I36" s="265"/>
    </row>
    <row r="37" spans="6:9" ht="12.75">
      <c r="F37" s="263"/>
      <c r="G37" s="264"/>
      <c r="H37" s="264"/>
      <c r="I37" s="265"/>
    </row>
    <row r="38" spans="6:9" ht="12.75">
      <c r="F38" s="263"/>
      <c r="G38" s="264"/>
      <c r="H38" s="264"/>
      <c r="I38" s="265"/>
    </row>
    <row r="39" spans="6:9" ht="12.75">
      <c r="F39" s="263"/>
      <c r="G39" s="264"/>
      <c r="H39" s="264"/>
      <c r="I39" s="265"/>
    </row>
    <row r="40" spans="6:9" ht="12.75">
      <c r="F40" s="263"/>
      <c r="G40" s="264"/>
      <c r="H40" s="264"/>
      <c r="I40" s="265"/>
    </row>
    <row r="41" spans="6:9" ht="12.75">
      <c r="F41" s="263"/>
      <c r="G41" s="264"/>
      <c r="H41" s="264"/>
      <c r="I41" s="265"/>
    </row>
    <row r="42" spans="6:9" ht="12.75">
      <c r="F42" s="263"/>
      <c r="G42" s="264"/>
      <c r="H42" s="264"/>
      <c r="I42" s="265"/>
    </row>
    <row r="43" spans="6:9" ht="12.75">
      <c r="F43" s="263"/>
      <c r="G43" s="264"/>
      <c r="H43" s="264"/>
      <c r="I43" s="265"/>
    </row>
    <row r="44" spans="6:9" ht="12.75">
      <c r="F44" s="263"/>
      <c r="G44" s="264"/>
      <c r="H44" s="264"/>
      <c r="I44" s="265"/>
    </row>
    <row r="45" spans="6:9" ht="12.75">
      <c r="F45" s="263"/>
      <c r="G45" s="264"/>
      <c r="H45" s="264"/>
      <c r="I45" s="265"/>
    </row>
    <row r="46" spans="6:9" ht="12.75">
      <c r="F46" s="263"/>
      <c r="G46" s="264"/>
      <c r="H46" s="264"/>
      <c r="I46" s="265"/>
    </row>
    <row r="47" spans="6:9" ht="12.75">
      <c r="F47" s="263"/>
      <c r="G47" s="264"/>
      <c r="H47" s="264"/>
      <c r="I47" s="265"/>
    </row>
    <row r="48" spans="6:9" ht="12.75">
      <c r="F48" s="263"/>
      <c r="G48" s="264"/>
      <c r="H48" s="264"/>
      <c r="I48" s="265"/>
    </row>
    <row r="49" spans="6:9" ht="12.75">
      <c r="F49" s="263"/>
      <c r="G49" s="264"/>
      <c r="H49" s="264"/>
      <c r="I49" s="265"/>
    </row>
    <row r="50" spans="6:9" ht="12.75">
      <c r="F50" s="263"/>
      <c r="G50" s="264"/>
      <c r="H50" s="264"/>
      <c r="I50" s="265"/>
    </row>
    <row r="51" spans="6:9" ht="12.75">
      <c r="F51" s="263"/>
      <c r="G51" s="264"/>
      <c r="H51" s="264"/>
      <c r="I51" s="265"/>
    </row>
    <row r="52" spans="6:9" ht="12.75">
      <c r="F52" s="263"/>
      <c r="G52" s="264"/>
      <c r="H52" s="264"/>
      <c r="I52" s="265"/>
    </row>
    <row r="53" spans="6:9" ht="12.75">
      <c r="F53" s="263"/>
      <c r="G53" s="264"/>
      <c r="H53" s="264"/>
      <c r="I53" s="265"/>
    </row>
    <row r="54" spans="6:9" ht="12.75">
      <c r="F54" s="263"/>
      <c r="G54" s="264"/>
      <c r="H54" s="264"/>
      <c r="I54" s="265"/>
    </row>
    <row r="55" spans="6:9" ht="12.75">
      <c r="F55" s="263"/>
      <c r="G55" s="264"/>
      <c r="H55" s="264"/>
      <c r="I55" s="265"/>
    </row>
    <row r="56" spans="6:9" ht="12.75">
      <c r="F56" s="263"/>
      <c r="G56" s="264"/>
      <c r="H56" s="264"/>
      <c r="I56" s="265"/>
    </row>
    <row r="57" spans="6:9" ht="12.75">
      <c r="F57" s="263"/>
      <c r="G57" s="264"/>
      <c r="H57" s="264"/>
      <c r="I57" s="265"/>
    </row>
    <row r="58" spans="6:9" ht="12.75">
      <c r="F58" s="263"/>
      <c r="G58" s="264"/>
      <c r="H58" s="264"/>
      <c r="I58" s="265"/>
    </row>
    <row r="59" spans="6:9" ht="12.75">
      <c r="F59" s="263"/>
      <c r="G59" s="264"/>
      <c r="H59" s="264"/>
      <c r="I59" s="265"/>
    </row>
    <row r="60" spans="6:9" ht="12.75">
      <c r="F60" s="263"/>
      <c r="G60" s="264"/>
      <c r="H60" s="264"/>
      <c r="I60" s="265"/>
    </row>
    <row r="61" spans="6:9" ht="12.75">
      <c r="F61" s="263"/>
      <c r="G61" s="264"/>
      <c r="H61" s="264"/>
      <c r="I61" s="265"/>
    </row>
    <row r="62" spans="6:9" ht="12.75">
      <c r="F62" s="263"/>
      <c r="G62" s="264"/>
      <c r="H62" s="264"/>
      <c r="I62" s="265"/>
    </row>
    <row r="63" spans="6:9" ht="12.75">
      <c r="F63" s="263"/>
      <c r="G63" s="264"/>
      <c r="H63" s="264"/>
      <c r="I63" s="265"/>
    </row>
    <row r="64" spans="6:9" ht="12.75">
      <c r="F64" s="263"/>
      <c r="G64" s="264"/>
      <c r="H64" s="264"/>
      <c r="I64" s="265"/>
    </row>
    <row r="65" spans="6:9" ht="12.75">
      <c r="F65" s="263"/>
      <c r="G65" s="264"/>
      <c r="H65" s="264"/>
      <c r="I65" s="265"/>
    </row>
    <row r="66" spans="6:9" ht="12.75">
      <c r="F66" s="263"/>
      <c r="G66" s="264"/>
      <c r="H66" s="264"/>
      <c r="I66" s="265"/>
    </row>
    <row r="67" spans="6:9" ht="12.75">
      <c r="F67" s="263"/>
      <c r="G67" s="264"/>
      <c r="H67" s="264"/>
      <c r="I67" s="265"/>
    </row>
    <row r="68" spans="6:9" ht="12.75">
      <c r="F68" s="263"/>
      <c r="G68" s="264"/>
      <c r="H68" s="264"/>
      <c r="I68" s="265"/>
    </row>
    <row r="69" spans="6:9" ht="12.75">
      <c r="F69" s="263"/>
      <c r="G69" s="264"/>
      <c r="H69" s="264"/>
      <c r="I69" s="265"/>
    </row>
    <row r="70" spans="6:9" ht="12.75">
      <c r="F70" s="263"/>
      <c r="G70" s="264"/>
      <c r="H70" s="264"/>
      <c r="I70" s="265"/>
    </row>
    <row r="71" spans="6:9" ht="12.75">
      <c r="F71" s="263"/>
      <c r="G71" s="264"/>
      <c r="H71" s="264"/>
      <c r="I71" s="265"/>
    </row>
    <row r="72" spans="6:9" ht="12.75">
      <c r="F72" s="263"/>
      <c r="G72" s="264"/>
      <c r="H72" s="264"/>
      <c r="I72" s="265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Tom</cp:lastModifiedBy>
  <dcterms:created xsi:type="dcterms:W3CDTF">2014-01-02T14:06:57Z</dcterms:created>
  <dcterms:modified xsi:type="dcterms:W3CDTF">2014-11-14T10:40:02Z</dcterms:modified>
  <cp:category/>
  <cp:version/>
  <cp:contentType/>
  <cp:contentStatus/>
</cp:coreProperties>
</file>