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Z:\2022\VZMR\Stavební práce\MK_Oprava účelové komunikace Ořešín\"/>
    </mc:Choice>
  </mc:AlternateContent>
  <xr:revisionPtr revIDLastSave="0" documentId="8_{FCED28EA-5DB8-4B9B-A62A-97C4E30E7BC5}" xr6:coauthVersionLast="36" xr6:coauthVersionMax="36" xr10:uidLastSave="{00000000-0000-0000-0000-000000000000}"/>
  <bookViews>
    <workbookView xWindow="-120" yWindow="-120" windowWidth="29040" windowHeight="15840" activeTab="2" xr2:uid="{00000000-000D-0000-FFFF-FFFF00000000}"/>
  </bookViews>
  <sheets>
    <sheet name="Krycí list rozpočtu" sheetId="1" r:id="rId1"/>
    <sheet name="Stavební rozpočet - součet" sheetId="2" r:id="rId2"/>
    <sheet name="Stavební rozpočet" sheetId="3" r:id="rId3"/>
  </sheets>
  <definedNames>
    <definedName name="_xlnm.Print_Area" localSheetId="0">'Krycí list rozpočtu'!$A$1:$I$35</definedName>
    <definedName name="_xlnm.Print_Area" localSheetId="2">'Stavební rozpočet'!$A$1:$M$183</definedName>
    <definedName name="_xlnm.Print_Area" localSheetId="1">'Stavební rozpočet - součet'!$A$1:$G$29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182" i="3" l="1"/>
  <c r="BF182" i="3"/>
  <c r="BD182" i="3"/>
  <c r="AW182" i="3"/>
  <c r="AP182" i="3"/>
  <c r="BI182" i="3" s="1"/>
  <c r="AO182" i="3"/>
  <c r="BH182" i="3" s="1"/>
  <c r="AK182" i="3"/>
  <c r="AJ182" i="3"/>
  <c r="AH182" i="3"/>
  <c r="AG182" i="3"/>
  <c r="AF182" i="3"/>
  <c r="AE182" i="3"/>
  <c r="AD182" i="3"/>
  <c r="AC182" i="3"/>
  <c r="AB182" i="3"/>
  <c r="Z182" i="3"/>
  <c r="L182" i="3"/>
  <c r="AL182" i="3" s="1"/>
  <c r="K182" i="3"/>
  <c r="J182" i="3"/>
  <c r="BJ180" i="3"/>
  <c r="Z180" i="3" s="1"/>
  <c r="BF180" i="3"/>
  <c r="BD180" i="3"/>
  <c r="AW180" i="3"/>
  <c r="AP180" i="3"/>
  <c r="AX180" i="3" s="1"/>
  <c r="AO180" i="3"/>
  <c r="BH180" i="3" s="1"/>
  <c r="AL180" i="3"/>
  <c r="AK180" i="3"/>
  <c r="AJ180" i="3"/>
  <c r="AH180" i="3"/>
  <c r="AG180" i="3"/>
  <c r="AF180" i="3"/>
  <c r="AE180" i="3"/>
  <c r="AD180" i="3"/>
  <c r="AC180" i="3"/>
  <c r="AB180" i="3"/>
  <c r="L180" i="3"/>
  <c r="K180" i="3"/>
  <c r="J180" i="3"/>
  <c r="BJ179" i="3"/>
  <c r="Z179" i="3" s="1"/>
  <c r="BF179" i="3"/>
  <c r="BD179" i="3"/>
  <c r="AX179" i="3"/>
  <c r="AW179" i="3"/>
  <c r="BC179" i="3" s="1"/>
  <c r="AP179" i="3"/>
  <c r="BI179" i="3" s="1"/>
  <c r="AO179" i="3"/>
  <c r="BH179" i="3" s="1"/>
  <c r="AL179" i="3"/>
  <c r="AK179" i="3"/>
  <c r="AJ179" i="3"/>
  <c r="AH179" i="3"/>
  <c r="AG179" i="3"/>
  <c r="AF179" i="3"/>
  <c r="AE179" i="3"/>
  <c r="AD179" i="3"/>
  <c r="AC179" i="3"/>
  <c r="AB179" i="3"/>
  <c r="L179" i="3"/>
  <c r="K179" i="3"/>
  <c r="J179" i="3"/>
  <c r="BJ178" i="3"/>
  <c r="BF178" i="3"/>
  <c r="BD178" i="3"/>
  <c r="AX178" i="3"/>
  <c r="AW178" i="3"/>
  <c r="AV178" i="3" s="1"/>
  <c r="AP178" i="3"/>
  <c r="BI178" i="3" s="1"/>
  <c r="AO178" i="3"/>
  <c r="BH178" i="3" s="1"/>
  <c r="AL178" i="3"/>
  <c r="AK178" i="3"/>
  <c r="AJ178" i="3"/>
  <c r="AH178" i="3"/>
  <c r="AG178" i="3"/>
  <c r="AF178" i="3"/>
  <c r="AE178" i="3"/>
  <c r="AD178" i="3"/>
  <c r="AC178" i="3"/>
  <c r="AB178" i="3"/>
  <c r="Z178" i="3"/>
  <c r="L178" i="3"/>
  <c r="K178" i="3"/>
  <c r="J178" i="3"/>
  <c r="BJ176" i="3"/>
  <c r="BF176" i="3"/>
  <c r="BD176" i="3"/>
  <c r="AX176" i="3"/>
  <c r="AW176" i="3"/>
  <c r="AV176" i="3" s="1"/>
  <c r="AP176" i="3"/>
  <c r="BI176" i="3" s="1"/>
  <c r="AO176" i="3"/>
  <c r="J176" i="3" s="1"/>
  <c r="AL176" i="3"/>
  <c r="AK176" i="3"/>
  <c r="AJ176" i="3"/>
  <c r="AH176" i="3"/>
  <c r="AG176" i="3"/>
  <c r="AF176" i="3"/>
  <c r="AE176" i="3"/>
  <c r="AD176" i="3"/>
  <c r="AC176" i="3"/>
  <c r="AB176" i="3"/>
  <c r="Z176" i="3"/>
  <c r="L176" i="3"/>
  <c r="K176" i="3"/>
  <c r="BJ175" i="3"/>
  <c r="BF175" i="3"/>
  <c r="BD175" i="3"/>
  <c r="AX175" i="3"/>
  <c r="AP175" i="3"/>
  <c r="K175" i="3" s="1"/>
  <c r="AO175" i="3"/>
  <c r="BH175" i="3" s="1"/>
  <c r="AK175" i="3"/>
  <c r="AJ175" i="3"/>
  <c r="AH175" i="3"/>
  <c r="AG175" i="3"/>
  <c r="AF175" i="3"/>
  <c r="AE175" i="3"/>
  <c r="AD175" i="3"/>
  <c r="AC175" i="3"/>
  <c r="AB175" i="3"/>
  <c r="Z175" i="3"/>
  <c r="L175" i="3"/>
  <c r="AL175" i="3" s="1"/>
  <c r="AU170" i="3" s="1"/>
  <c r="BJ173" i="3"/>
  <c r="BF173" i="3"/>
  <c r="BD173" i="3"/>
  <c r="AW173" i="3"/>
  <c r="AP173" i="3"/>
  <c r="BI173" i="3" s="1"/>
  <c r="AO173" i="3"/>
  <c r="BH173" i="3" s="1"/>
  <c r="AL173" i="3"/>
  <c r="AK173" i="3"/>
  <c r="AJ173" i="3"/>
  <c r="AH173" i="3"/>
  <c r="AG173" i="3"/>
  <c r="AF173" i="3"/>
  <c r="AE173" i="3"/>
  <c r="AD173" i="3"/>
  <c r="AC173" i="3"/>
  <c r="AB173" i="3"/>
  <c r="Z173" i="3"/>
  <c r="L173" i="3"/>
  <c r="J173" i="3"/>
  <c r="BJ171" i="3"/>
  <c r="Z171" i="3" s="1"/>
  <c r="BF171" i="3"/>
  <c r="BD171" i="3"/>
  <c r="AX171" i="3"/>
  <c r="AW171" i="3"/>
  <c r="AV171" i="3" s="1"/>
  <c r="AP171" i="3"/>
  <c r="BI171" i="3" s="1"/>
  <c r="AO171" i="3"/>
  <c r="BH171" i="3" s="1"/>
  <c r="AL171" i="3"/>
  <c r="AK171" i="3"/>
  <c r="AJ171" i="3"/>
  <c r="AH171" i="3"/>
  <c r="AG171" i="3"/>
  <c r="AF171" i="3"/>
  <c r="AE171" i="3"/>
  <c r="AD171" i="3"/>
  <c r="AC171" i="3"/>
  <c r="AB171" i="3"/>
  <c r="L171" i="3"/>
  <c r="K171" i="3"/>
  <c r="J171" i="3"/>
  <c r="AT170" i="3"/>
  <c r="AS170" i="3"/>
  <c r="L170" i="3"/>
  <c r="BJ167" i="3"/>
  <c r="BF167" i="3"/>
  <c r="BD167" i="3"/>
  <c r="AP167" i="3"/>
  <c r="AO167" i="3"/>
  <c r="BH167" i="3" s="1"/>
  <c r="AF167" i="3" s="1"/>
  <c r="AK167" i="3"/>
  <c r="AJ167" i="3"/>
  <c r="AS162" i="3" s="1"/>
  <c r="AH167" i="3"/>
  <c r="AE167" i="3"/>
  <c r="AD167" i="3"/>
  <c r="AC167" i="3"/>
  <c r="AB167" i="3"/>
  <c r="Z167" i="3"/>
  <c r="L167" i="3"/>
  <c r="AL167" i="3" s="1"/>
  <c r="J167" i="3"/>
  <c r="BJ163" i="3"/>
  <c r="BF163" i="3"/>
  <c r="BD163" i="3"/>
  <c r="AP163" i="3"/>
  <c r="BI163" i="3" s="1"/>
  <c r="AG163" i="3" s="1"/>
  <c r="AO163" i="3"/>
  <c r="BH163" i="3" s="1"/>
  <c r="AK163" i="3"/>
  <c r="AT162" i="3" s="1"/>
  <c r="AJ163" i="3"/>
  <c r="AH163" i="3"/>
  <c r="AF163" i="3"/>
  <c r="AE163" i="3"/>
  <c r="AD163" i="3"/>
  <c r="AC163" i="3"/>
  <c r="AB163" i="3"/>
  <c r="Z163" i="3"/>
  <c r="L163" i="3"/>
  <c r="AL163" i="3" s="1"/>
  <c r="AU162" i="3" s="1"/>
  <c r="K163" i="3"/>
  <c r="J163" i="3"/>
  <c r="J162" i="3" s="1"/>
  <c r="L162" i="3"/>
  <c r="BJ159" i="3"/>
  <c r="BF159" i="3"/>
  <c r="BD159" i="3"/>
  <c r="AP159" i="3"/>
  <c r="AO159" i="3"/>
  <c r="BH159" i="3" s="1"/>
  <c r="AB159" i="3" s="1"/>
  <c r="AK159" i="3"/>
  <c r="AJ159" i="3"/>
  <c r="AH159" i="3"/>
  <c r="AG159" i="3"/>
  <c r="AF159" i="3"/>
  <c r="AE159" i="3"/>
  <c r="AD159" i="3"/>
  <c r="Z159" i="3"/>
  <c r="L159" i="3"/>
  <c r="AL159" i="3" s="1"/>
  <c r="BJ155" i="3"/>
  <c r="BF155" i="3"/>
  <c r="BD155" i="3"/>
  <c r="AW155" i="3"/>
  <c r="AP155" i="3"/>
  <c r="BI155" i="3" s="1"/>
  <c r="AC155" i="3" s="1"/>
  <c r="AO155" i="3"/>
  <c r="BH155" i="3" s="1"/>
  <c r="AK155" i="3"/>
  <c r="AJ155" i="3"/>
  <c r="AH155" i="3"/>
  <c r="AG155" i="3"/>
  <c r="AF155" i="3"/>
  <c r="AE155" i="3"/>
  <c r="AD155" i="3"/>
  <c r="AB155" i="3"/>
  <c r="Z155" i="3"/>
  <c r="L155" i="3"/>
  <c r="AL155" i="3" s="1"/>
  <c r="J155" i="3"/>
  <c r="BJ152" i="3"/>
  <c r="BF152" i="3"/>
  <c r="BD152" i="3"/>
  <c r="AW152" i="3"/>
  <c r="AP152" i="3"/>
  <c r="BI152" i="3" s="1"/>
  <c r="AO152" i="3"/>
  <c r="BH152" i="3" s="1"/>
  <c r="AB152" i="3" s="1"/>
  <c r="AL152" i="3"/>
  <c r="AK152" i="3"/>
  <c r="AJ152" i="3"/>
  <c r="AH152" i="3"/>
  <c r="AG152" i="3"/>
  <c r="AF152" i="3"/>
  <c r="AE152" i="3"/>
  <c r="AD152" i="3"/>
  <c r="AC152" i="3"/>
  <c r="Z152" i="3"/>
  <c r="L152" i="3"/>
  <c r="K152" i="3"/>
  <c r="J152" i="3"/>
  <c r="BJ148" i="3"/>
  <c r="BF148" i="3"/>
  <c r="BD148" i="3"/>
  <c r="AX148" i="3"/>
  <c r="AP148" i="3"/>
  <c r="BI148" i="3" s="1"/>
  <c r="AC148" i="3" s="1"/>
  <c r="AO148" i="3"/>
  <c r="AK148" i="3"/>
  <c r="AJ148" i="3"/>
  <c r="AH148" i="3"/>
  <c r="AG148" i="3"/>
  <c r="AF148" i="3"/>
  <c r="AE148" i="3"/>
  <c r="AD148" i="3"/>
  <c r="Z148" i="3"/>
  <c r="L148" i="3"/>
  <c r="AL148" i="3" s="1"/>
  <c r="K148" i="3"/>
  <c r="BJ145" i="3"/>
  <c r="BF145" i="3"/>
  <c r="BD145" i="3"/>
  <c r="AP145" i="3"/>
  <c r="AO145" i="3"/>
  <c r="BH145" i="3" s="1"/>
  <c r="AB145" i="3" s="1"/>
  <c r="AK145" i="3"/>
  <c r="AJ145" i="3"/>
  <c r="AH145" i="3"/>
  <c r="AG145" i="3"/>
  <c r="AF145" i="3"/>
  <c r="AE145" i="3"/>
  <c r="AD145" i="3"/>
  <c r="Z145" i="3"/>
  <c r="L145" i="3"/>
  <c r="AL145" i="3" s="1"/>
  <c r="BJ142" i="3"/>
  <c r="BF142" i="3"/>
  <c r="BD142" i="3"/>
  <c r="AP142" i="3"/>
  <c r="BI142" i="3" s="1"/>
  <c r="AC142" i="3" s="1"/>
  <c r="AO142" i="3"/>
  <c r="BH142" i="3" s="1"/>
  <c r="AK142" i="3"/>
  <c r="AT141" i="3" s="1"/>
  <c r="AJ142" i="3"/>
  <c r="AS141" i="3" s="1"/>
  <c r="AH142" i="3"/>
  <c r="AG142" i="3"/>
  <c r="AF142" i="3"/>
  <c r="AE142" i="3"/>
  <c r="AD142" i="3"/>
  <c r="AB142" i="3"/>
  <c r="Z142" i="3"/>
  <c r="L142" i="3"/>
  <c r="AL142" i="3" s="1"/>
  <c r="AU141" i="3" s="1"/>
  <c r="J142" i="3"/>
  <c r="L141" i="3"/>
  <c r="BJ139" i="3"/>
  <c r="BF139" i="3"/>
  <c r="BD139" i="3"/>
  <c r="AP139" i="3"/>
  <c r="AO139" i="3"/>
  <c r="BH139" i="3" s="1"/>
  <c r="AB139" i="3" s="1"/>
  <c r="AK139" i="3"/>
  <c r="AJ139" i="3"/>
  <c r="AS138" i="3" s="1"/>
  <c r="AH139" i="3"/>
  <c r="AG139" i="3"/>
  <c r="AF139" i="3"/>
  <c r="AE139" i="3"/>
  <c r="AD139" i="3"/>
  <c r="Z139" i="3"/>
  <c r="L139" i="3"/>
  <c r="AL139" i="3" s="1"/>
  <c r="AU138" i="3"/>
  <c r="AT138" i="3"/>
  <c r="BJ135" i="3"/>
  <c r="BH135" i="3"/>
  <c r="AB135" i="3" s="1"/>
  <c r="BF135" i="3"/>
  <c r="BD135" i="3"/>
  <c r="AX135" i="3"/>
  <c r="AP135" i="3"/>
  <c r="BI135" i="3" s="1"/>
  <c r="AC135" i="3" s="1"/>
  <c r="AO135" i="3"/>
  <c r="AK135" i="3"/>
  <c r="AJ135" i="3"/>
  <c r="AH135" i="3"/>
  <c r="AG135" i="3"/>
  <c r="AF135" i="3"/>
  <c r="AE135" i="3"/>
  <c r="AD135" i="3"/>
  <c r="Z135" i="3"/>
  <c r="L135" i="3"/>
  <c r="K135" i="3"/>
  <c r="K134" i="3" s="1"/>
  <c r="AT134" i="3"/>
  <c r="AS134" i="3"/>
  <c r="BJ131" i="3"/>
  <c r="BF131" i="3"/>
  <c r="BD131" i="3"/>
  <c r="AW131" i="3"/>
  <c r="AP131" i="3"/>
  <c r="BI131" i="3" s="1"/>
  <c r="AO131" i="3"/>
  <c r="BH131" i="3" s="1"/>
  <c r="AB131" i="3" s="1"/>
  <c r="AL131" i="3"/>
  <c r="AK131" i="3"/>
  <c r="AJ131" i="3"/>
  <c r="AH131" i="3"/>
  <c r="AG131" i="3"/>
  <c r="AF131" i="3"/>
  <c r="AE131" i="3"/>
  <c r="AD131" i="3"/>
  <c r="AC131" i="3"/>
  <c r="Z131" i="3"/>
  <c r="L131" i="3"/>
  <c r="K131" i="3"/>
  <c r="J131" i="3"/>
  <c r="BJ128" i="3"/>
  <c r="BF128" i="3"/>
  <c r="BD128" i="3"/>
  <c r="AX128" i="3"/>
  <c r="AP128" i="3"/>
  <c r="BI128" i="3" s="1"/>
  <c r="AC128" i="3" s="1"/>
  <c r="AO128" i="3"/>
  <c r="AK128" i="3"/>
  <c r="AJ128" i="3"/>
  <c r="AH128" i="3"/>
  <c r="AG128" i="3"/>
  <c r="AF128" i="3"/>
  <c r="AE128" i="3"/>
  <c r="AD128" i="3"/>
  <c r="Z128" i="3"/>
  <c r="L128" i="3"/>
  <c r="AL128" i="3" s="1"/>
  <c r="K128" i="3"/>
  <c r="BJ125" i="3"/>
  <c r="BF125" i="3"/>
  <c r="BD125" i="3"/>
  <c r="AP125" i="3"/>
  <c r="AO125" i="3"/>
  <c r="BH125" i="3" s="1"/>
  <c r="AB125" i="3" s="1"/>
  <c r="AK125" i="3"/>
  <c r="AJ125" i="3"/>
  <c r="AH125" i="3"/>
  <c r="AG125" i="3"/>
  <c r="AF125" i="3"/>
  <c r="AE125" i="3"/>
  <c r="AD125" i="3"/>
  <c r="Z125" i="3"/>
  <c r="L125" i="3"/>
  <c r="AL125" i="3" s="1"/>
  <c r="BJ122" i="3"/>
  <c r="BI122" i="3"/>
  <c r="AC122" i="3" s="1"/>
  <c r="BF122" i="3"/>
  <c r="BD122" i="3"/>
  <c r="AW122" i="3"/>
  <c r="AP122" i="3"/>
  <c r="AO122" i="3"/>
  <c r="BH122" i="3" s="1"/>
  <c r="AK122" i="3"/>
  <c r="AJ122" i="3"/>
  <c r="AH122" i="3"/>
  <c r="AG122" i="3"/>
  <c r="AF122" i="3"/>
  <c r="AE122" i="3"/>
  <c r="AD122" i="3"/>
  <c r="AB122" i="3"/>
  <c r="Z122" i="3"/>
  <c r="L122" i="3"/>
  <c r="AL122" i="3" s="1"/>
  <c r="J122" i="3"/>
  <c r="BJ118" i="3"/>
  <c r="BF118" i="3"/>
  <c r="BD118" i="3"/>
  <c r="AW118" i="3"/>
  <c r="AP118" i="3"/>
  <c r="BI118" i="3" s="1"/>
  <c r="AC118" i="3" s="1"/>
  <c r="AO118" i="3"/>
  <c r="BH118" i="3" s="1"/>
  <c r="AB118" i="3" s="1"/>
  <c r="AL118" i="3"/>
  <c r="AK118" i="3"/>
  <c r="AJ118" i="3"/>
  <c r="AH118" i="3"/>
  <c r="AG118" i="3"/>
  <c r="AF118" i="3"/>
  <c r="AE118" i="3"/>
  <c r="AD118" i="3"/>
  <c r="Z118" i="3"/>
  <c r="L118" i="3"/>
  <c r="K118" i="3"/>
  <c r="J118" i="3"/>
  <c r="BJ116" i="3"/>
  <c r="BH116" i="3"/>
  <c r="AB116" i="3" s="1"/>
  <c r="BF116" i="3"/>
  <c r="BD116" i="3"/>
  <c r="AX116" i="3"/>
  <c r="AW116" i="3"/>
  <c r="AP116" i="3"/>
  <c r="BI116" i="3" s="1"/>
  <c r="AO116" i="3"/>
  <c r="J116" i="3" s="1"/>
  <c r="AL116" i="3"/>
  <c r="AK116" i="3"/>
  <c r="AJ116" i="3"/>
  <c r="AH116" i="3"/>
  <c r="AG116" i="3"/>
  <c r="AF116" i="3"/>
  <c r="AE116" i="3"/>
  <c r="AD116" i="3"/>
  <c r="AC116" i="3"/>
  <c r="Z116" i="3"/>
  <c r="L116" i="3"/>
  <c r="K116" i="3"/>
  <c r="BJ113" i="3"/>
  <c r="BI113" i="3"/>
  <c r="AC113" i="3" s="1"/>
  <c r="BF113" i="3"/>
  <c r="BD113" i="3"/>
  <c r="AP113" i="3"/>
  <c r="K113" i="3" s="1"/>
  <c r="AO113" i="3"/>
  <c r="AK113" i="3"/>
  <c r="AJ113" i="3"/>
  <c r="AH113" i="3"/>
  <c r="AG113" i="3"/>
  <c r="AF113" i="3"/>
  <c r="AE113" i="3"/>
  <c r="AD113" i="3"/>
  <c r="Z113" i="3"/>
  <c r="L113" i="3"/>
  <c r="AL113" i="3" s="1"/>
  <c r="BJ109" i="3"/>
  <c r="BF109" i="3"/>
  <c r="BD109" i="3"/>
  <c r="AP109" i="3"/>
  <c r="AO109" i="3"/>
  <c r="BH109" i="3" s="1"/>
  <c r="AK109" i="3"/>
  <c r="AT108" i="3" s="1"/>
  <c r="AJ109" i="3"/>
  <c r="AS108" i="3" s="1"/>
  <c r="AH109" i="3"/>
  <c r="AG109" i="3"/>
  <c r="AF109" i="3"/>
  <c r="AE109" i="3"/>
  <c r="AD109" i="3"/>
  <c r="AB109" i="3"/>
  <c r="Z109" i="3"/>
  <c r="L109" i="3"/>
  <c r="AL109" i="3" s="1"/>
  <c r="J109" i="3"/>
  <c r="AU108" i="3"/>
  <c r="L108" i="3"/>
  <c r="BJ106" i="3"/>
  <c r="BI106" i="3"/>
  <c r="AC106" i="3" s="1"/>
  <c r="BF106" i="3"/>
  <c r="BD106" i="3"/>
  <c r="AP106" i="3"/>
  <c r="K106" i="3" s="1"/>
  <c r="AO106" i="3"/>
  <c r="AK106" i="3"/>
  <c r="AJ106" i="3"/>
  <c r="AH106" i="3"/>
  <c r="AG106" i="3"/>
  <c r="AF106" i="3"/>
  <c r="AE106" i="3"/>
  <c r="AD106" i="3"/>
  <c r="Z106" i="3"/>
  <c r="L106" i="3"/>
  <c r="AL106" i="3" s="1"/>
  <c r="BJ104" i="3"/>
  <c r="BF104" i="3"/>
  <c r="BD104" i="3"/>
  <c r="AP104" i="3"/>
  <c r="AO104" i="3"/>
  <c r="BH104" i="3" s="1"/>
  <c r="AK104" i="3"/>
  <c r="AJ104" i="3"/>
  <c r="AH104" i="3"/>
  <c r="AG104" i="3"/>
  <c r="AF104" i="3"/>
  <c r="AE104" i="3"/>
  <c r="AD104" i="3"/>
  <c r="AB104" i="3"/>
  <c r="Z104" i="3"/>
  <c r="L104" i="3"/>
  <c r="AL104" i="3" s="1"/>
  <c r="J104" i="3"/>
  <c r="BJ102" i="3"/>
  <c r="BF102" i="3"/>
  <c r="BD102" i="3"/>
  <c r="AX102" i="3"/>
  <c r="AW102" i="3"/>
  <c r="BC102" i="3" s="1"/>
  <c r="AP102" i="3"/>
  <c r="BI102" i="3" s="1"/>
  <c r="AO102" i="3"/>
  <c r="BH102" i="3" s="1"/>
  <c r="AL102" i="3"/>
  <c r="AK102" i="3"/>
  <c r="AJ102" i="3"/>
  <c r="AH102" i="3"/>
  <c r="AG102" i="3"/>
  <c r="AF102" i="3"/>
  <c r="AE102" i="3"/>
  <c r="AD102" i="3"/>
  <c r="AC102" i="3"/>
  <c r="AB102" i="3"/>
  <c r="Z102" i="3"/>
  <c r="L102" i="3"/>
  <c r="K102" i="3"/>
  <c r="J102" i="3"/>
  <c r="BJ100" i="3"/>
  <c r="BF100" i="3"/>
  <c r="BD100" i="3"/>
  <c r="AX100" i="3"/>
  <c r="AP100" i="3"/>
  <c r="BI100" i="3" s="1"/>
  <c r="AC100" i="3" s="1"/>
  <c r="AO100" i="3"/>
  <c r="J100" i="3" s="1"/>
  <c r="AK100" i="3"/>
  <c r="AJ100" i="3"/>
  <c r="AH100" i="3"/>
  <c r="AG100" i="3"/>
  <c r="AF100" i="3"/>
  <c r="AE100" i="3"/>
  <c r="AD100" i="3"/>
  <c r="Z100" i="3"/>
  <c r="L100" i="3"/>
  <c r="L99" i="3" s="1"/>
  <c r="K100" i="3"/>
  <c r="AT99" i="3"/>
  <c r="AS99" i="3"/>
  <c r="BJ96" i="3"/>
  <c r="BF96" i="3"/>
  <c r="BD96" i="3"/>
  <c r="AW96" i="3"/>
  <c r="AP96" i="3"/>
  <c r="AO96" i="3"/>
  <c r="BH96" i="3" s="1"/>
  <c r="AL96" i="3"/>
  <c r="AK96" i="3"/>
  <c r="AJ96" i="3"/>
  <c r="AH96" i="3"/>
  <c r="AG96" i="3"/>
  <c r="AF96" i="3"/>
  <c r="AE96" i="3"/>
  <c r="AD96" i="3"/>
  <c r="AB96" i="3"/>
  <c r="Z96" i="3"/>
  <c r="L96" i="3"/>
  <c r="K96" i="3"/>
  <c r="J96" i="3"/>
  <c r="BJ93" i="3"/>
  <c r="BF93" i="3"/>
  <c r="BD93" i="3"/>
  <c r="AX93" i="3"/>
  <c r="AP93" i="3"/>
  <c r="BI93" i="3" s="1"/>
  <c r="AC93" i="3" s="1"/>
  <c r="AO93" i="3"/>
  <c r="AW93" i="3" s="1"/>
  <c r="AK93" i="3"/>
  <c r="AJ93" i="3"/>
  <c r="AH93" i="3"/>
  <c r="AG93" i="3"/>
  <c r="AF93" i="3"/>
  <c r="AE93" i="3"/>
  <c r="AD93" i="3"/>
  <c r="Z93" i="3"/>
  <c r="L93" i="3"/>
  <c r="AL93" i="3" s="1"/>
  <c r="K93" i="3"/>
  <c r="BJ90" i="3"/>
  <c r="BF90" i="3"/>
  <c r="BD90" i="3"/>
  <c r="AP90" i="3"/>
  <c r="AX90" i="3" s="1"/>
  <c r="AO90" i="3"/>
  <c r="BH90" i="3" s="1"/>
  <c r="AB90" i="3" s="1"/>
  <c r="AK90" i="3"/>
  <c r="AJ90" i="3"/>
  <c r="AH90" i="3"/>
  <c r="AG90" i="3"/>
  <c r="AF90" i="3"/>
  <c r="AE90" i="3"/>
  <c r="AD90" i="3"/>
  <c r="Z90" i="3"/>
  <c r="L90" i="3"/>
  <c r="AL90" i="3" s="1"/>
  <c r="BJ87" i="3"/>
  <c r="BF87" i="3"/>
  <c r="BD87" i="3"/>
  <c r="AP87" i="3"/>
  <c r="BI87" i="3" s="1"/>
  <c r="AC87" i="3" s="1"/>
  <c r="AO87" i="3"/>
  <c r="BH87" i="3" s="1"/>
  <c r="AB87" i="3" s="1"/>
  <c r="AK87" i="3"/>
  <c r="AJ87" i="3"/>
  <c r="AH87" i="3"/>
  <c r="AG87" i="3"/>
  <c r="AF87" i="3"/>
  <c r="AE87" i="3"/>
  <c r="AD87" i="3"/>
  <c r="Z87" i="3"/>
  <c r="L87" i="3"/>
  <c r="AL87" i="3" s="1"/>
  <c r="J87" i="3"/>
  <c r="BJ85" i="3"/>
  <c r="BF85" i="3"/>
  <c r="BD85" i="3"/>
  <c r="AW85" i="3"/>
  <c r="AP85" i="3"/>
  <c r="BI85" i="3" s="1"/>
  <c r="AC85" i="3" s="1"/>
  <c r="AO85" i="3"/>
  <c r="BH85" i="3" s="1"/>
  <c r="AB85" i="3" s="1"/>
  <c r="AL85" i="3"/>
  <c r="AK85" i="3"/>
  <c r="AJ85" i="3"/>
  <c r="AH85" i="3"/>
  <c r="AG85" i="3"/>
  <c r="AF85" i="3"/>
  <c r="AE85" i="3"/>
  <c r="AD85" i="3"/>
  <c r="Z85" i="3"/>
  <c r="L85" i="3"/>
  <c r="K85" i="3"/>
  <c r="J85" i="3"/>
  <c r="BJ83" i="3"/>
  <c r="BF83" i="3"/>
  <c r="BD83" i="3"/>
  <c r="AX83" i="3"/>
  <c r="AP83" i="3"/>
  <c r="BI83" i="3" s="1"/>
  <c r="AC83" i="3" s="1"/>
  <c r="AO83" i="3"/>
  <c r="AW83" i="3" s="1"/>
  <c r="AK83" i="3"/>
  <c r="AJ83" i="3"/>
  <c r="AH83" i="3"/>
  <c r="AG83" i="3"/>
  <c r="AF83" i="3"/>
  <c r="AE83" i="3"/>
  <c r="AD83" i="3"/>
  <c r="Z83" i="3"/>
  <c r="L83" i="3"/>
  <c r="AL83" i="3" s="1"/>
  <c r="K83" i="3"/>
  <c r="BJ80" i="3"/>
  <c r="BF80" i="3"/>
  <c r="BD80" i="3"/>
  <c r="AP80" i="3"/>
  <c r="AX80" i="3" s="1"/>
  <c r="AO80" i="3"/>
  <c r="BH80" i="3" s="1"/>
  <c r="AB80" i="3" s="1"/>
  <c r="AK80" i="3"/>
  <c r="AJ80" i="3"/>
  <c r="AH80" i="3"/>
  <c r="AG80" i="3"/>
  <c r="AF80" i="3"/>
  <c r="AE80" i="3"/>
  <c r="AD80" i="3"/>
  <c r="Z80" i="3"/>
  <c r="L80" i="3"/>
  <c r="AL80" i="3" s="1"/>
  <c r="BJ78" i="3"/>
  <c r="BF78" i="3"/>
  <c r="BD78" i="3"/>
  <c r="AP78" i="3"/>
  <c r="BI78" i="3" s="1"/>
  <c r="AC78" i="3" s="1"/>
  <c r="AO78" i="3"/>
  <c r="BH78" i="3" s="1"/>
  <c r="AB78" i="3" s="1"/>
  <c r="AK78" i="3"/>
  <c r="AT77" i="3" s="1"/>
  <c r="AJ78" i="3"/>
  <c r="AS77" i="3" s="1"/>
  <c r="AH78" i="3"/>
  <c r="AG78" i="3"/>
  <c r="AF78" i="3"/>
  <c r="AE78" i="3"/>
  <c r="AD78" i="3"/>
  <c r="Z78" i="3"/>
  <c r="L78" i="3"/>
  <c r="AL78" i="3" s="1"/>
  <c r="J78" i="3"/>
  <c r="L77" i="3"/>
  <c r="BJ75" i="3"/>
  <c r="BF75" i="3"/>
  <c r="BD75" i="3"/>
  <c r="AP75" i="3"/>
  <c r="AX75" i="3" s="1"/>
  <c r="AO75" i="3"/>
  <c r="BH75" i="3" s="1"/>
  <c r="AB75" i="3" s="1"/>
  <c r="AK75" i="3"/>
  <c r="AJ75" i="3"/>
  <c r="AH75" i="3"/>
  <c r="AG75" i="3"/>
  <c r="AF75" i="3"/>
  <c r="AE75" i="3"/>
  <c r="AD75" i="3"/>
  <c r="Z75" i="3"/>
  <c r="L75" i="3"/>
  <c r="AL75" i="3" s="1"/>
  <c r="J75" i="3"/>
  <c r="BJ72" i="3"/>
  <c r="BF72" i="3"/>
  <c r="BD72" i="3"/>
  <c r="AP72" i="3"/>
  <c r="BI72" i="3" s="1"/>
  <c r="AC72" i="3" s="1"/>
  <c r="AO72" i="3"/>
  <c r="BH72" i="3" s="1"/>
  <c r="AB72" i="3" s="1"/>
  <c r="AK72" i="3"/>
  <c r="AT71" i="3" s="1"/>
  <c r="AJ72" i="3"/>
  <c r="AH72" i="3"/>
  <c r="AG72" i="3"/>
  <c r="AF72" i="3"/>
  <c r="AE72" i="3"/>
  <c r="AD72" i="3"/>
  <c r="Z72" i="3"/>
  <c r="L72" i="3"/>
  <c r="AL72" i="3" s="1"/>
  <c r="AU71" i="3" s="1"/>
  <c r="K72" i="3"/>
  <c r="J72" i="3"/>
  <c r="J71" i="3" s="1"/>
  <c r="AS71" i="3"/>
  <c r="L71" i="3"/>
  <c r="BJ68" i="3"/>
  <c r="BF68" i="3"/>
  <c r="BD68" i="3"/>
  <c r="AP68" i="3"/>
  <c r="AX68" i="3" s="1"/>
  <c r="AO68" i="3"/>
  <c r="BH68" i="3" s="1"/>
  <c r="AB68" i="3" s="1"/>
  <c r="AK68" i="3"/>
  <c r="AJ68" i="3"/>
  <c r="AS67" i="3" s="1"/>
  <c r="AH68" i="3"/>
  <c r="AG68" i="3"/>
  <c r="AF68" i="3"/>
  <c r="AE68" i="3"/>
  <c r="AD68" i="3"/>
  <c r="Z68" i="3"/>
  <c r="L68" i="3"/>
  <c r="AL68" i="3" s="1"/>
  <c r="AU67" i="3" s="1"/>
  <c r="J68" i="3"/>
  <c r="J67" i="3" s="1"/>
  <c r="AT67" i="3"/>
  <c r="L67" i="3"/>
  <c r="BJ64" i="3"/>
  <c r="BF64" i="3"/>
  <c r="BD64" i="3"/>
  <c r="AX64" i="3"/>
  <c r="AP64" i="3"/>
  <c r="BI64" i="3" s="1"/>
  <c r="AC64" i="3" s="1"/>
  <c r="AO64" i="3"/>
  <c r="AW64" i="3" s="1"/>
  <c r="AK64" i="3"/>
  <c r="AJ64" i="3"/>
  <c r="AH64" i="3"/>
  <c r="AG64" i="3"/>
  <c r="AF64" i="3"/>
  <c r="AE64" i="3"/>
  <c r="AD64" i="3"/>
  <c r="Z64" i="3"/>
  <c r="L64" i="3"/>
  <c r="AL64" i="3" s="1"/>
  <c r="K64" i="3"/>
  <c r="J64" i="3"/>
  <c r="BJ61" i="3"/>
  <c r="BF61" i="3"/>
  <c r="BD61" i="3"/>
  <c r="AP61" i="3"/>
  <c r="AX61" i="3" s="1"/>
  <c r="AO61" i="3"/>
  <c r="BH61" i="3" s="1"/>
  <c r="AB61" i="3" s="1"/>
  <c r="AK61" i="3"/>
  <c r="AJ61" i="3"/>
  <c r="AH61" i="3"/>
  <c r="AG61" i="3"/>
  <c r="AF61" i="3"/>
  <c r="AE61" i="3"/>
  <c r="AD61" i="3"/>
  <c r="Z61" i="3"/>
  <c r="L61" i="3"/>
  <c r="AL61" i="3" s="1"/>
  <c r="AU60" i="3" s="1"/>
  <c r="K61" i="3"/>
  <c r="J61" i="3"/>
  <c r="J60" i="3" s="1"/>
  <c r="AT60" i="3"/>
  <c r="AS60" i="3"/>
  <c r="L60" i="3"/>
  <c r="K60" i="3"/>
  <c r="BJ58" i="3"/>
  <c r="BF58" i="3"/>
  <c r="BD58" i="3"/>
  <c r="AP58" i="3"/>
  <c r="BI58" i="3" s="1"/>
  <c r="AC58" i="3" s="1"/>
  <c r="AO58" i="3"/>
  <c r="AW58" i="3" s="1"/>
  <c r="AK58" i="3"/>
  <c r="AJ58" i="3"/>
  <c r="AH58" i="3"/>
  <c r="AG58" i="3"/>
  <c r="AF58" i="3"/>
  <c r="AE58" i="3"/>
  <c r="AD58" i="3"/>
  <c r="Z58" i="3"/>
  <c r="L58" i="3"/>
  <c r="AL58" i="3" s="1"/>
  <c r="AU57" i="3" s="1"/>
  <c r="K58" i="3"/>
  <c r="J58" i="3"/>
  <c r="AT57" i="3"/>
  <c r="AS57" i="3"/>
  <c r="L57" i="3"/>
  <c r="K57" i="3"/>
  <c r="J57" i="3"/>
  <c r="BJ54" i="3"/>
  <c r="BF54" i="3"/>
  <c r="BD54" i="3"/>
  <c r="AP54" i="3"/>
  <c r="BI54" i="3" s="1"/>
  <c r="AC54" i="3" s="1"/>
  <c r="AO54" i="3"/>
  <c r="BH54" i="3" s="1"/>
  <c r="AB54" i="3" s="1"/>
  <c r="AK54" i="3"/>
  <c r="AJ54" i="3"/>
  <c r="AH54" i="3"/>
  <c r="AG54" i="3"/>
  <c r="AF54" i="3"/>
  <c r="AE54" i="3"/>
  <c r="AD54" i="3"/>
  <c r="Z54" i="3"/>
  <c r="L54" i="3"/>
  <c r="AL54" i="3" s="1"/>
  <c r="K54" i="3"/>
  <c r="J54" i="3"/>
  <c r="BJ51" i="3"/>
  <c r="BF51" i="3"/>
  <c r="BD51" i="3"/>
  <c r="AP51" i="3"/>
  <c r="BI51" i="3" s="1"/>
  <c r="AC51" i="3" s="1"/>
  <c r="AO51" i="3"/>
  <c r="AW51" i="3" s="1"/>
  <c r="AK51" i="3"/>
  <c r="AJ51" i="3"/>
  <c r="AH51" i="3"/>
  <c r="AG51" i="3"/>
  <c r="AF51" i="3"/>
  <c r="AE51" i="3"/>
  <c r="AD51" i="3"/>
  <c r="Z51" i="3"/>
  <c r="L51" i="3"/>
  <c r="AL51" i="3" s="1"/>
  <c r="AU50" i="3" s="1"/>
  <c r="K51" i="3"/>
  <c r="J51" i="3"/>
  <c r="AT50" i="3"/>
  <c r="AS50" i="3"/>
  <c r="L50" i="3"/>
  <c r="K50" i="3"/>
  <c r="J50" i="3"/>
  <c r="BJ48" i="3"/>
  <c r="BF48" i="3"/>
  <c r="BD48" i="3"/>
  <c r="AP48" i="3"/>
  <c r="BI48" i="3" s="1"/>
  <c r="AC48" i="3" s="1"/>
  <c r="AO48" i="3"/>
  <c r="BH48" i="3" s="1"/>
  <c r="AB48" i="3" s="1"/>
  <c r="AK48" i="3"/>
  <c r="AJ48" i="3"/>
  <c r="AH48" i="3"/>
  <c r="AG48" i="3"/>
  <c r="AF48" i="3"/>
  <c r="AE48" i="3"/>
  <c r="AD48" i="3"/>
  <c r="Z48" i="3"/>
  <c r="L48" i="3"/>
  <c r="AL48" i="3" s="1"/>
  <c r="K48" i="3"/>
  <c r="J48" i="3"/>
  <c r="BJ46" i="3"/>
  <c r="BF46" i="3"/>
  <c r="BD46" i="3"/>
  <c r="AP46" i="3"/>
  <c r="BI46" i="3" s="1"/>
  <c r="AC46" i="3" s="1"/>
  <c r="AO46" i="3"/>
  <c r="AW46" i="3" s="1"/>
  <c r="AK46" i="3"/>
  <c r="AJ46" i="3"/>
  <c r="AH46" i="3"/>
  <c r="AG46" i="3"/>
  <c r="AF46" i="3"/>
  <c r="AE46" i="3"/>
  <c r="AD46" i="3"/>
  <c r="Z46" i="3"/>
  <c r="L46" i="3"/>
  <c r="AL46" i="3" s="1"/>
  <c r="K46" i="3"/>
  <c r="J46" i="3"/>
  <c r="BJ44" i="3"/>
  <c r="BF44" i="3"/>
  <c r="BD44" i="3"/>
  <c r="AP44" i="3"/>
  <c r="AX44" i="3" s="1"/>
  <c r="AO44" i="3"/>
  <c r="BH44" i="3" s="1"/>
  <c r="AB44" i="3" s="1"/>
  <c r="AK44" i="3"/>
  <c r="AJ44" i="3"/>
  <c r="AH44" i="3"/>
  <c r="AG44" i="3"/>
  <c r="AF44" i="3"/>
  <c r="AE44" i="3"/>
  <c r="AD44" i="3"/>
  <c r="Z44" i="3"/>
  <c r="L44" i="3"/>
  <c r="AL44" i="3" s="1"/>
  <c r="K44" i="3"/>
  <c r="J44" i="3"/>
  <c r="BJ40" i="3"/>
  <c r="BF40" i="3"/>
  <c r="BD40" i="3"/>
  <c r="AP40" i="3"/>
  <c r="BI40" i="3" s="1"/>
  <c r="AC40" i="3" s="1"/>
  <c r="AO40" i="3"/>
  <c r="BH40" i="3" s="1"/>
  <c r="AB40" i="3" s="1"/>
  <c r="AK40" i="3"/>
  <c r="AJ40" i="3"/>
  <c r="AH40" i="3"/>
  <c r="AG40" i="3"/>
  <c r="AF40" i="3"/>
  <c r="AE40" i="3"/>
  <c r="AD40" i="3"/>
  <c r="Z40" i="3"/>
  <c r="L40" i="3"/>
  <c r="AL40" i="3" s="1"/>
  <c r="AU39" i="3" s="1"/>
  <c r="K40" i="3"/>
  <c r="J40" i="3"/>
  <c r="AT39" i="3"/>
  <c r="AS39" i="3"/>
  <c r="L39" i="3"/>
  <c r="K39" i="3"/>
  <c r="J39" i="3"/>
  <c r="BJ37" i="3"/>
  <c r="BF37" i="3"/>
  <c r="BD37" i="3"/>
  <c r="AP37" i="3"/>
  <c r="AX37" i="3" s="1"/>
  <c r="AO37" i="3"/>
  <c r="BH37" i="3" s="1"/>
  <c r="AB37" i="3" s="1"/>
  <c r="AK37" i="3"/>
  <c r="AJ37" i="3"/>
  <c r="AH37" i="3"/>
  <c r="AG37" i="3"/>
  <c r="AF37" i="3"/>
  <c r="AE37" i="3"/>
  <c r="AD37" i="3"/>
  <c r="Z37" i="3"/>
  <c r="L37" i="3"/>
  <c r="AL37" i="3" s="1"/>
  <c r="AU36" i="3" s="1"/>
  <c r="K37" i="3"/>
  <c r="J37" i="3"/>
  <c r="J36" i="3" s="1"/>
  <c r="AT36" i="3"/>
  <c r="AS36" i="3"/>
  <c r="L36" i="3"/>
  <c r="K36" i="3"/>
  <c r="BJ33" i="3"/>
  <c r="BF33" i="3"/>
  <c r="BD33" i="3"/>
  <c r="AP33" i="3"/>
  <c r="BI33" i="3" s="1"/>
  <c r="AC33" i="3" s="1"/>
  <c r="AO33" i="3"/>
  <c r="AW33" i="3" s="1"/>
  <c r="AK33" i="3"/>
  <c r="AJ33" i="3"/>
  <c r="AH33" i="3"/>
  <c r="AG33" i="3"/>
  <c r="AF33" i="3"/>
  <c r="AE33" i="3"/>
  <c r="AD33" i="3"/>
  <c r="Z33" i="3"/>
  <c r="L33" i="3"/>
  <c r="AL33" i="3" s="1"/>
  <c r="AU32" i="3" s="1"/>
  <c r="K33" i="3"/>
  <c r="J33" i="3"/>
  <c r="AT32" i="3"/>
  <c r="AS32" i="3"/>
  <c r="L32" i="3"/>
  <c r="K32" i="3"/>
  <c r="J32" i="3"/>
  <c r="BJ29" i="3"/>
  <c r="BF29" i="3"/>
  <c r="BD29" i="3"/>
  <c r="AP29" i="3"/>
  <c r="BI29" i="3" s="1"/>
  <c r="AC29" i="3" s="1"/>
  <c r="AO29" i="3"/>
  <c r="BH29" i="3" s="1"/>
  <c r="AB29" i="3" s="1"/>
  <c r="AK29" i="3"/>
  <c r="AJ29" i="3"/>
  <c r="AH29" i="3"/>
  <c r="AG29" i="3"/>
  <c r="AF29" i="3"/>
  <c r="AE29" i="3"/>
  <c r="AD29" i="3"/>
  <c r="Z29" i="3"/>
  <c r="L29" i="3"/>
  <c r="AL29" i="3" s="1"/>
  <c r="K29" i="3"/>
  <c r="J29" i="3"/>
  <c r="BJ26" i="3"/>
  <c r="BF26" i="3"/>
  <c r="BD26" i="3"/>
  <c r="AP26" i="3"/>
  <c r="BI26" i="3" s="1"/>
  <c r="AC26" i="3" s="1"/>
  <c r="AO26" i="3"/>
  <c r="AW26" i="3" s="1"/>
  <c r="AK26" i="3"/>
  <c r="AJ26" i="3"/>
  <c r="AH26" i="3"/>
  <c r="AG26" i="3"/>
  <c r="AF26" i="3"/>
  <c r="AE26" i="3"/>
  <c r="AD26" i="3"/>
  <c r="Z26" i="3"/>
  <c r="L26" i="3"/>
  <c r="AL26" i="3" s="1"/>
  <c r="AU25" i="3" s="1"/>
  <c r="K26" i="3"/>
  <c r="J26" i="3"/>
  <c r="J25" i="3" s="1"/>
  <c r="AT25" i="3"/>
  <c r="AS25" i="3"/>
  <c r="L25" i="3"/>
  <c r="K25" i="3"/>
  <c r="BJ22" i="3"/>
  <c r="BF22" i="3"/>
  <c r="BD22" i="3"/>
  <c r="AP22" i="3"/>
  <c r="BI22" i="3" s="1"/>
  <c r="AC22" i="3" s="1"/>
  <c r="AO22" i="3"/>
  <c r="BH22" i="3" s="1"/>
  <c r="AB22" i="3" s="1"/>
  <c r="AK22" i="3"/>
  <c r="AJ22" i="3"/>
  <c r="AH22" i="3"/>
  <c r="AG22" i="3"/>
  <c r="AF22" i="3"/>
  <c r="AE22" i="3"/>
  <c r="AD22" i="3"/>
  <c r="Z22" i="3"/>
  <c r="L22" i="3"/>
  <c r="AL22" i="3" s="1"/>
  <c r="K22" i="3"/>
  <c r="J22" i="3"/>
  <c r="BJ19" i="3"/>
  <c r="BF19" i="3"/>
  <c r="BD19" i="3"/>
  <c r="AW19" i="3"/>
  <c r="AP19" i="3"/>
  <c r="BI19" i="3" s="1"/>
  <c r="AC19" i="3" s="1"/>
  <c r="AO19" i="3"/>
  <c r="BH19" i="3" s="1"/>
  <c r="AB19" i="3" s="1"/>
  <c r="AK19" i="3"/>
  <c r="AJ19" i="3"/>
  <c r="AH19" i="3"/>
  <c r="AG19" i="3"/>
  <c r="AF19" i="3"/>
  <c r="AE19" i="3"/>
  <c r="AD19" i="3"/>
  <c r="Z19" i="3"/>
  <c r="L19" i="3"/>
  <c r="AL19" i="3" s="1"/>
  <c r="K19" i="3"/>
  <c r="J19" i="3"/>
  <c r="BJ16" i="3"/>
  <c r="BF16" i="3"/>
  <c r="BD16" i="3"/>
  <c r="AX16" i="3"/>
  <c r="AP16" i="3"/>
  <c r="BI16" i="3" s="1"/>
  <c r="AC16" i="3" s="1"/>
  <c r="AO16" i="3"/>
  <c r="BH16" i="3" s="1"/>
  <c r="AB16" i="3" s="1"/>
  <c r="AK16" i="3"/>
  <c r="AJ16" i="3"/>
  <c r="AH16" i="3"/>
  <c r="AG16" i="3"/>
  <c r="AF16" i="3"/>
  <c r="AE16" i="3"/>
  <c r="AD16" i="3"/>
  <c r="Z16" i="3"/>
  <c r="L16" i="3"/>
  <c r="AL16" i="3" s="1"/>
  <c r="K16" i="3"/>
  <c r="J16" i="3"/>
  <c r="BJ13" i="3"/>
  <c r="BF13" i="3"/>
  <c r="BD13" i="3"/>
  <c r="AW13" i="3"/>
  <c r="AP13" i="3"/>
  <c r="BI13" i="3" s="1"/>
  <c r="AC13" i="3" s="1"/>
  <c r="AO13" i="3"/>
  <c r="BH13" i="3" s="1"/>
  <c r="AB13" i="3" s="1"/>
  <c r="AL13" i="3"/>
  <c r="AU12" i="3" s="1"/>
  <c r="AK13" i="3"/>
  <c r="AJ13" i="3"/>
  <c r="AH13" i="3"/>
  <c r="AG13" i="3"/>
  <c r="AF13" i="3"/>
  <c r="AE13" i="3"/>
  <c r="AD13" i="3"/>
  <c r="Z13" i="3"/>
  <c r="L13" i="3"/>
  <c r="K13" i="3"/>
  <c r="K12" i="3" s="1"/>
  <c r="F11" i="2" s="1"/>
  <c r="J13" i="3"/>
  <c r="AT12" i="3"/>
  <c r="AS12" i="3"/>
  <c r="L12" i="3"/>
  <c r="J12" i="3"/>
  <c r="G29" i="2"/>
  <c r="G28" i="2"/>
  <c r="I28" i="2" s="1"/>
  <c r="G27" i="2"/>
  <c r="I27" i="2" s="1"/>
  <c r="E27" i="2"/>
  <c r="G26" i="2"/>
  <c r="I26" i="2" s="1"/>
  <c r="F24" i="2"/>
  <c r="G23" i="2"/>
  <c r="I23" i="2" s="1"/>
  <c r="G22" i="2"/>
  <c r="I22" i="2" s="1"/>
  <c r="G21" i="2"/>
  <c r="I21" i="2" s="1"/>
  <c r="G20" i="2"/>
  <c r="I20" i="2" s="1"/>
  <c r="E20" i="2"/>
  <c r="G19" i="2"/>
  <c r="I19" i="2" s="1"/>
  <c r="E19" i="2"/>
  <c r="G18" i="2"/>
  <c r="I18" i="2" s="1"/>
  <c r="F18" i="2"/>
  <c r="E18" i="2"/>
  <c r="G17" i="2"/>
  <c r="I17" i="2" s="1"/>
  <c r="F17" i="2"/>
  <c r="E17" i="2"/>
  <c r="G16" i="2"/>
  <c r="I16" i="2" s="1"/>
  <c r="F16" i="2"/>
  <c r="E16" i="2"/>
  <c r="G15" i="2"/>
  <c r="I15" i="2" s="1"/>
  <c r="F15" i="2"/>
  <c r="E15" i="2"/>
  <c r="G14" i="2"/>
  <c r="I14" i="2" s="1"/>
  <c r="F14" i="2"/>
  <c r="E14" i="2"/>
  <c r="G13" i="2"/>
  <c r="I13" i="2" s="1"/>
  <c r="F13" i="2"/>
  <c r="E13" i="2"/>
  <c r="G12" i="2"/>
  <c r="I12" i="2" s="1"/>
  <c r="F12" i="2"/>
  <c r="E12" i="2"/>
  <c r="G11" i="2"/>
  <c r="I11" i="2" s="1"/>
  <c r="E11" i="2"/>
  <c r="G8" i="2"/>
  <c r="C8" i="2"/>
  <c r="G6" i="2"/>
  <c r="C6" i="2"/>
  <c r="G4" i="2"/>
  <c r="C4" i="2"/>
  <c r="G2" i="2"/>
  <c r="C2" i="2"/>
  <c r="C28" i="1"/>
  <c r="F28" i="1" s="1"/>
  <c r="C27" i="1"/>
  <c r="I22" i="1"/>
  <c r="F22" i="1"/>
  <c r="C21" i="1"/>
  <c r="C20" i="1"/>
  <c r="C18" i="1"/>
  <c r="C17" i="1"/>
  <c r="C16" i="1"/>
  <c r="I10" i="1"/>
  <c r="F10" i="1"/>
  <c r="C10" i="1"/>
  <c r="F8" i="1"/>
  <c r="C8" i="1"/>
  <c r="F6" i="1"/>
  <c r="C6" i="1"/>
  <c r="F4" i="1"/>
  <c r="C4" i="1"/>
  <c r="F2" i="1"/>
  <c r="C2" i="1"/>
  <c r="AV93" i="3" l="1"/>
  <c r="BC93" i="3"/>
  <c r="AX13" i="3"/>
  <c r="AV13" i="3" s="1"/>
  <c r="AV58" i="3"/>
  <c r="AV64" i="3"/>
  <c r="BC64" i="3"/>
  <c r="AV83" i="3"/>
  <c r="BC83" i="3"/>
  <c r="BC13" i="3"/>
  <c r="BC33" i="3"/>
  <c r="BC46" i="3"/>
  <c r="AU77" i="3"/>
  <c r="AX19" i="3"/>
  <c r="BC19" i="3" s="1"/>
  <c r="AW22" i="3"/>
  <c r="AX26" i="3"/>
  <c r="AV26" i="3" s="1"/>
  <c r="BH26" i="3"/>
  <c r="AB26" i="3" s="1"/>
  <c r="C14" i="1" s="1"/>
  <c r="C22" i="1" s="1"/>
  <c r="AW29" i="3"/>
  <c r="AX33" i="3"/>
  <c r="AV33" i="3" s="1"/>
  <c r="BH33" i="3"/>
  <c r="AB33" i="3" s="1"/>
  <c r="BI37" i="3"/>
  <c r="AC37" i="3" s="1"/>
  <c r="BI44" i="3"/>
  <c r="AC44" i="3" s="1"/>
  <c r="C15" i="1" s="1"/>
  <c r="AX46" i="3"/>
  <c r="AV46" i="3" s="1"/>
  <c r="BH46" i="3"/>
  <c r="AB46" i="3" s="1"/>
  <c r="AW48" i="3"/>
  <c r="AX51" i="3"/>
  <c r="AV51" i="3" s="1"/>
  <c r="BH51" i="3"/>
  <c r="AB51" i="3" s="1"/>
  <c r="AW54" i="3"/>
  <c r="AX58" i="3"/>
  <c r="BC58" i="3" s="1"/>
  <c r="BH58" i="3"/>
  <c r="AB58" i="3" s="1"/>
  <c r="BI61" i="3"/>
  <c r="AC61" i="3" s="1"/>
  <c r="BH64" i="3"/>
  <c r="AB64" i="3" s="1"/>
  <c r="BI68" i="3"/>
  <c r="AC68" i="3" s="1"/>
  <c r="BI75" i="3"/>
  <c r="AC75" i="3" s="1"/>
  <c r="BI80" i="3"/>
  <c r="AC80" i="3" s="1"/>
  <c r="BH83" i="3"/>
  <c r="AB83" i="3" s="1"/>
  <c r="BI90" i="3"/>
  <c r="AC90" i="3" s="1"/>
  <c r="BH93" i="3"/>
  <c r="AB93" i="3" s="1"/>
  <c r="AV116" i="3"/>
  <c r="BC116" i="3"/>
  <c r="AW135" i="3"/>
  <c r="J135" i="3"/>
  <c r="J134" i="3" s="1"/>
  <c r="E24" i="2" s="1"/>
  <c r="AX139" i="3"/>
  <c r="K139" i="3"/>
  <c r="K138" i="3" s="1"/>
  <c r="F25" i="2" s="1"/>
  <c r="BI139" i="3"/>
  <c r="AC139" i="3" s="1"/>
  <c r="AX159" i="3"/>
  <c r="K159" i="3"/>
  <c r="BI159" i="3"/>
  <c r="AC159" i="3" s="1"/>
  <c r="AX167" i="3"/>
  <c r="K167" i="3"/>
  <c r="K162" i="3" s="1"/>
  <c r="F27" i="2" s="1"/>
  <c r="BI167" i="3"/>
  <c r="AG167" i="3" s="1"/>
  <c r="C19" i="1" s="1"/>
  <c r="AX22" i="3"/>
  <c r="AX29" i="3"/>
  <c r="AW40" i="3"/>
  <c r="AX48" i="3"/>
  <c r="AX54" i="3"/>
  <c r="AW72" i="3"/>
  <c r="K78" i="3"/>
  <c r="AW78" i="3"/>
  <c r="J80" i="3"/>
  <c r="J77" i="3" s="1"/>
  <c r="E21" i="2" s="1"/>
  <c r="AX85" i="3"/>
  <c r="AV85" i="3" s="1"/>
  <c r="K87" i="3"/>
  <c r="AW87" i="3"/>
  <c r="J90" i="3"/>
  <c r="AW100" i="3"/>
  <c r="BH100" i="3"/>
  <c r="AB100" i="3" s="1"/>
  <c r="AX104" i="3"/>
  <c r="K104" i="3"/>
  <c r="AW106" i="3"/>
  <c r="J106" i="3"/>
  <c r="J99" i="3" s="1"/>
  <c r="E22" i="2" s="1"/>
  <c r="AX109" i="3"/>
  <c r="K109" i="3"/>
  <c r="AW113" i="3"/>
  <c r="J113" i="3"/>
  <c r="J108" i="3" s="1"/>
  <c r="E23" i="2" s="1"/>
  <c r="AX125" i="3"/>
  <c r="K125" i="3"/>
  <c r="BI125" i="3"/>
  <c r="AC125" i="3" s="1"/>
  <c r="AW128" i="3"/>
  <c r="J128" i="3"/>
  <c r="AV180" i="3"/>
  <c r="AW16" i="3"/>
  <c r="AW37" i="3"/>
  <c r="AX40" i="3"/>
  <c r="AW44" i="3"/>
  <c r="AW61" i="3"/>
  <c r="K68" i="3"/>
  <c r="K67" i="3" s="1"/>
  <c r="F19" i="2" s="1"/>
  <c r="AW68" i="3"/>
  <c r="AX72" i="3"/>
  <c r="K75" i="3"/>
  <c r="K71" i="3" s="1"/>
  <c r="F20" i="2" s="1"/>
  <c r="AW75" i="3"/>
  <c r="AX78" i="3"/>
  <c r="K80" i="3"/>
  <c r="AW80" i="3"/>
  <c r="J83" i="3"/>
  <c r="AX87" i="3"/>
  <c r="K90" i="3"/>
  <c r="AW90" i="3"/>
  <c r="J93" i="3"/>
  <c r="BI96" i="3"/>
  <c r="AC96" i="3" s="1"/>
  <c r="AX96" i="3"/>
  <c r="BC96" i="3" s="1"/>
  <c r="AL100" i="3"/>
  <c r="AU99" i="3" s="1"/>
  <c r="BI104" i="3"/>
  <c r="AC104" i="3" s="1"/>
  <c r="BI109" i="3"/>
  <c r="AC109" i="3" s="1"/>
  <c r="BH128" i="3"/>
  <c r="AB128" i="3" s="1"/>
  <c r="AX145" i="3"/>
  <c r="K145" i="3"/>
  <c r="BI145" i="3"/>
  <c r="AC145" i="3" s="1"/>
  <c r="AW148" i="3"/>
  <c r="J148" i="3"/>
  <c r="AV96" i="3"/>
  <c r="K99" i="3"/>
  <c r="F22" i="2" s="1"/>
  <c r="AV102" i="3"/>
  <c r="AX106" i="3"/>
  <c r="BH106" i="3"/>
  <c r="AB106" i="3" s="1"/>
  <c r="AX113" i="3"/>
  <c r="BH113" i="3"/>
  <c r="AB113" i="3" s="1"/>
  <c r="AX122" i="3"/>
  <c r="K122" i="3"/>
  <c r="AL135" i="3"/>
  <c r="AU134" i="3" s="1"/>
  <c r="L134" i="3"/>
  <c r="G24" i="2" s="1"/>
  <c r="I24" i="2" s="1"/>
  <c r="BH148" i="3"/>
  <c r="AB148" i="3" s="1"/>
  <c r="AW104" i="3"/>
  <c r="AW109" i="3"/>
  <c r="AX118" i="3"/>
  <c r="AV118" i="3" s="1"/>
  <c r="J125" i="3"/>
  <c r="AX131" i="3"/>
  <c r="AV131" i="3" s="1"/>
  <c r="L138" i="3"/>
  <c r="G25" i="2" s="1"/>
  <c r="I25" i="2" s="1"/>
  <c r="J139" i="3"/>
  <c r="J138" i="3" s="1"/>
  <c r="E25" i="2" s="1"/>
  <c r="K142" i="3"/>
  <c r="AW142" i="3"/>
  <c r="J145" i="3"/>
  <c r="J141" i="3" s="1"/>
  <c r="E26" i="2" s="1"/>
  <c r="AX152" i="3"/>
  <c r="AV152" i="3" s="1"/>
  <c r="K155" i="3"/>
  <c r="J159" i="3"/>
  <c r="AW163" i="3"/>
  <c r="BI175" i="3"/>
  <c r="BH176" i="3"/>
  <c r="AV179" i="3"/>
  <c r="BC180" i="3"/>
  <c r="BI180" i="3"/>
  <c r="AX182" i="3"/>
  <c r="AV182" i="3" s="1"/>
  <c r="AW125" i="3"/>
  <c r="AW139" i="3"/>
  <c r="AX142" i="3"/>
  <c r="AW145" i="3"/>
  <c r="AX155" i="3"/>
  <c r="AW159" i="3"/>
  <c r="AX163" i="3"/>
  <c r="AW167" i="3"/>
  <c r="K173" i="3"/>
  <c r="K170" i="3" s="1"/>
  <c r="F28" i="2" s="1"/>
  <c r="J175" i="3"/>
  <c r="J170" i="3" s="1"/>
  <c r="E28" i="2" s="1"/>
  <c r="BC176" i="3"/>
  <c r="BC182" i="3"/>
  <c r="BC171" i="3"/>
  <c r="AX173" i="3"/>
  <c r="AW175" i="3"/>
  <c r="BC178" i="3"/>
  <c r="BC173" i="3" l="1"/>
  <c r="AV173" i="3"/>
  <c r="AV44" i="3"/>
  <c r="BC44" i="3"/>
  <c r="AV106" i="3"/>
  <c r="BC106" i="3"/>
  <c r="AV100" i="3"/>
  <c r="BC100" i="3"/>
  <c r="BC72" i="3"/>
  <c r="AV72" i="3"/>
  <c r="AV135" i="3"/>
  <c r="BC135" i="3"/>
  <c r="AV29" i="3"/>
  <c r="BC29" i="3"/>
  <c r="L183" i="3"/>
  <c r="AV19" i="3"/>
  <c r="AV159" i="3"/>
  <c r="BC159" i="3"/>
  <c r="AV139" i="3"/>
  <c r="BC139" i="3"/>
  <c r="BC163" i="3"/>
  <c r="AV163" i="3"/>
  <c r="BC109" i="3"/>
  <c r="AV109" i="3"/>
  <c r="K108" i="3"/>
  <c r="F23" i="2" s="1"/>
  <c r="BC155" i="3"/>
  <c r="AV155" i="3"/>
  <c r="AV125" i="3"/>
  <c r="BC125" i="3"/>
  <c r="BC142" i="3"/>
  <c r="AV142" i="3"/>
  <c r="BC104" i="3"/>
  <c r="AV104" i="3"/>
  <c r="BC122" i="3"/>
  <c r="AV122" i="3"/>
  <c r="BC85" i="3"/>
  <c r="AV68" i="3"/>
  <c r="BC68" i="3"/>
  <c r="AV48" i="3"/>
  <c r="BC48" i="3"/>
  <c r="BC26" i="3"/>
  <c r="AV167" i="3"/>
  <c r="BC167" i="3"/>
  <c r="AV145" i="3"/>
  <c r="BC145" i="3"/>
  <c r="K141" i="3"/>
  <c r="F26" i="2" s="1"/>
  <c r="BC131" i="3"/>
  <c r="BC118" i="3"/>
  <c r="AV90" i="3"/>
  <c r="BC90" i="3"/>
  <c r="AV75" i="3"/>
  <c r="BC75" i="3"/>
  <c r="AV37" i="3"/>
  <c r="BC37" i="3"/>
  <c r="AV128" i="3"/>
  <c r="BC128" i="3"/>
  <c r="BC87" i="3"/>
  <c r="AV87" i="3"/>
  <c r="BC78" i="3"/>
  <c r="AV78" i="3"/>
  <c r="BC152" i="3"/>
  <c r="AV54" i="3"/>
  <c r="BC54" i="3"/>
  <c r="BC51" i="3"/>
  <c r="C29" i="1"/>
  <c r="AV175" i="3"/>
  <c r="BC175" i="3"/>
  <c r="AV148" i="3"/>
  <c r="BC148" i="3"/>
  <c r="AV80" i="3"/>
  <c r="BC80" i="3"/>
  <c r="AV61" i="3"/>
  <c r="BC61" i="3"/>
  <c r="AV16" i="3"/>
  <c r="BC16" i="3"/>
  <c r="AV113" i="3"/>
  <c r="BC113" i="3"/>
  <c r="K77" i="3"/>
  <c r="F21" i="2" s="1"/>
  <c r="BC40" i="3"/>
  <c r="AV40" i="3"/>
  <c r="AV22" i="3"/>
  <c r="BC22" i="3"/>
  <c r="F29" i="1" l="1"/>
  <c r="I28" i="1"/>
  <c r="I29" i="1" l="1"/>
</calcChain>
</file>

<file path=xl/sharedStrings.xml><?xml version="1.0" encoding="utf-8"?>
<sst xmlns="http://schemas.openxmlformats.org/spreadsheetml/2006/main" count="1026" uniqueCount="419">
  <si>
    <t>Výkaz výměr - krycí list</t>
  </si>
  <si>
    <t>Název stavby:</t>
  </si>
  <si>
    <t>Objednatel:</t>
  </si>
  <si>
    <t>IČO/DIČ:</t>
  </si>
  <si>
    <t>Druh stavby:</t>
  </si>
  <si>
    <t>Projektant:</t>
  </si>
  <si>
    <t>10854339/CZ10854339</t>
  </si>
  <si>
    <t>Lokalita:</t>
  </si>
  <si>
    <t>Zhotovitel:</t>
  </si>
  <si>
    <t>Začátek výstavby:</t>
  </si>
  <si>
    <t>Konec výstavby:</t>
  </si>
  <si>
    <t>Položek:</t>
  </si>
  <si>
    <t>58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</si>
  <si>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</si>
  <si>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</si>
  <si>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</si>
  <si>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</si>
  <si>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</si>
  <si>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</si>
  <si>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</si>
  <si>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</si>
  <si>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</si>
  <si>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</si>
  <si>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</si>
  <si>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</si>
  <si>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</si>
  <si>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</si>
  <si>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0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</si>
  <si>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</si>
  <si>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</si>
  <si>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</si>
  <si>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</si>
  <si>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</si>
  <si>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</si>
  <si>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</si>
  <si>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</si>
  <si>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</si>
  <si>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</si>
  <si>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</si>
  <si>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</si>
  <si>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</si>
  <si>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</si>
  <si>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</si>
  <si>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</si>
  <si>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</si>
  <si>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</si>
  <si>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</si>
  <si>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</si>
  <si>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</si>
  <si>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</si>
  <si>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</si>
  <si>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</si>
  <si>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</si>
  <si>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</si>
  <si>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</si>
  <si>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</si>
  <si>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</si>
  <si>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</si>
  <si>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</si>
  <si>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Výkaz výměr - rekapitulace</t>
  </si>
  <si>
    <t>Doba výstavby:</t>
  </si>
  <si>
    <t xml:space="preserve"> </t>
  </si>
  <si>
    <t>Zpracováno dne:</t>
  </si>
  <si>
    <t>12.10.2022</t>
  </si>
  <si>
    <t>Kód</t>
  </si>
  <si>
    <t>Zkrácený popis</t>
  </si>
  <si>
    <t>Náklady (Kč) - dodávka</t>
  </si>
  <si>
    <t>Náklady (Kč) - Montáž</t>
  </si>
  <si>
    <t>Náklady (Kč) - celkem</t>
  </si>
  <si>
    <t>11</t>
  </si>
  <si>
    <t>Přípravné a přidružené práce</t>
  </si>
  <si>
    <t>T</t>
  </si>
  <si>
    <t>12</t>
  </si>
  <si>
    <t>Odkopávky a prokopávky</t>
  </si>
  <si>
    <t>13</t>
  </si>
  <si>
    <t>Hloubené vykopávky</t>
  </si>
  <si>
    <t>16</t>
  </si>
  <si>
    <t>Přemístění výkopku</t>
  </si>
  <si>
    <t>17</t>
  </si>
  <si>
    <t>Konstrukce ze zemin</t>
  </si>
  <si>
    <t>18</t>
  </si>
  <si>
    <t>Povrchové úpravy terénu</t>
  </si>
  <si>
    <t>19</t>
  </si>
  <si>
    <t>Hloubení pro podzemní stěny, ražení a hloubení důlní</t>
  </si>
  <si>
    <t>21</t>
  </si>
  <si>
    <t>Úprava podloží a základové spáry</t>
  </si>
  <si>
    <t>38</t>
  </si>
  <si>
    <t>Různé kompletní konstrukce nedělitelné do stav. dílů</t>
  </si>
  <si>
    <t>45</t>
  </si>
  <si>
    <t>Podkladní a vedlejší konstrukce (kromě vozovek a železničního svršku)</t>
  </si>
  <si>
    <t>56</t>
  </si>
  <si>
    <t>Podkladní vrstvy komunikací, letišť a ploch</t>
  </si>
  <si>
    <t>57</t>
  </si>
  <si>
    <t>Kryty pozemních komunikací, letišť a ploch z kameniva nebo živičné</t>
  </si>
  <si>
    <t>59</t>
  </si>
  <si>
    <t>Kryty pozemních komunikací, letišť a ploch dlážděných (předlažby)</t>
  </si>
  <si>
    <t>83</t>
  </si>
  <si>
    <t>Potrubí z trub kameninových</t>
  </si>
  <si>
    <t>89</t>
  </si>
  <si>
    <t>Ostatní konstrukce a práce na trubním vedení</t>
  </si>
  <si>
    <t>91</t>
  </si>
  <si>
    <t>Doplňující konstrukce a práce na pozemních komunikacích a zpevněných plochách</t>
  </si>
  <si>
    <t>M46</t>
  </si>
  <si>
    <t>Zemní práce při montážích</t>
  </si>
  <si>
    <t>S</t>
  </si>
  <si>
    <t>Přesuny sutí</t>
  </si>
  <si>
    <t>Celkem:</t>
  </si>
  <si>
    <t>Výkaz výměr</t>
  </si>
  <si>
    <t>OPRAVA ÚČELOVÉ KOMUNIKACE V ÚSEKU OD HASIČSKÉ ZBROJNICE PO RANČ "CH"</t>
  </si>
  <si>
    <t>MČ Brno - Ořešín</t>
  </si>
  <si>
    <t>SO 102 - Komunikace - úsek 2, revize 01</t>
  </si>
  <si>
    <t>MATULA projekt s.r.o., Jana Babáka 11, 61200 Brno</t>
  </si>
  <si>
    <t>Brno - Ořešín</t>
  </si>
  <si>
    <t> </t>
  </si>
  <si>
    <t>Ing. Radka Matulová</t>
  </si>
  <si>
    <t>Č</t>
  </si>
  <si>
    <t>Zkrácený popis / Varianta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</si>
  <si>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</si>
  <si>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</si>
  <si>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</si>
  <si>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</si>
  <si>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</si>
  <si>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</si>
  <si>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</si>
  <si>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</si>
  <si>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</si>
  <si>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Dodávka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</si>
  <si>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</si>
  <si>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</si>
  <si>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</si>
  <si>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</si>
  <si>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</si>
  <si>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</si>
  <si>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</si>
  <si>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</si>
  <si>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</si>
  <si>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</si>
  <si>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</si>
  <si>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</si>
  <si>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</si>
  <si>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</si>
  <si>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</t>
  </si>
  <si>
    <t>113107630R00</t>
  </si>
  <si>
    <t>Odstranění podkladu nad 50 m2,kam.drcené tl.30 cm</t>
  </si>
  <si>
    <t>m2</t>
  </si>
  <si>
    <t>RTS I / 2022</t>
  </si>
  <si>
    <t>11_</t>
  </si>
  <si>
    <t>1_</t>
  </si>
  <si>
    <t>_</t>
  </si>
  <si>
    <t>P</t>
  </si>
  <si>
    <t>895</t>
  </si>
  <si>
    <t>RTS komentář:</t>
  </si>
  <si>
    <t>Položka je určena i pro odstranění podkladů nebo krytů ze zemin stabilizovaných vápnem. Pro volbu položky z hlediska množství se uvažuje každá souvisle odstraňovaná plocha krytu nebo podkladu stejného druhu samostatně.Odstraňuje-li se několik vrstev vozovky najednou, jednotlivé vrstvy se oceňují každá samostatně</t>
  </si>
  <si>
    <t>2</t>
  </si>
  <si>
    <t>113107635R00</t>
  </si>
  <si>
    <t>Odstranění podkladu nad 50 m2,kam.drcené tl.35 cm</t>
  </si>
  <si>
    <t>290+95</t>
  </si>
  <si>
    <t>3</t>
  </si>
  <si>
    <t>113108405R00</t>
  </si>
  <si>
    <t>Odstranění asfaltové vrstvy pl.nad 50 m2, tl. 5 cm</t>
  </si>
  <si>
    <t>Položka není určena pro odstranění podkladu nebo krytu frézováním. Pro volbu položky z hlediska množství se uvažuje každá souvisle odstraňovaná plocha krytu nebo podkladu stejného druhu samostatně.Odstraňuje-li se několik vrstev vozovky najednou, jednotlivé vrstvy se oceňují každá samostatně</t>
  </si>
  <si>
    <t>4</t>
  </si>
  <si>
    <t>113-01VD</t>
  </si>
  <si>
    <t>Bourání otevřeného odvodňovacího žlabu, š.600 mm</t>
  </si>
  <si>
    <t>m</t>
  </si>
  <si>
    <t>31</t>
  </si>
  <si>
    <t>Položka obsahuje vybourání odvodňovacího žlabu včetně betonového lože</t>
  </si>
  <si>
    <t>5</t>
  </si>
  <si>
    <t>121103111R00</t>
  </si>
  <si>
    <t>Skrývka zemin v rovině a sklonu 1:5</t>
  </si>
  <si>
    <t>m3</t>
  </si>
  <si>
    <t>12_</t>
  </si>
  <si>
    <t>Varianta:</t>
  </si>
  <si>
    <t>včetně uložení na dočasnou skládku</t>
  </si>
  <si>
    <t>63</t>
  </si>
  <si>
    <t>uložit pro opětovné ohumusování</t>
  </si>
  <si>
    <t>6</t>
  </si>
  <si>
    <t>122301102R00</t>
  </si>
  <si>
    <t>Odkopávky nezapažené v hor. 4 do 1000 m3</t>
  </si>
  <si>
    <t>350</t>
  </si>
  <si>
    <t>1295/2*0,3</t>
  </si>
  <si>
    <t>pro výměnu podloží, uvažováno na polovine plochy, provedeno pouze v případě neúnosné pláně</t>
  </si>
  <si>
    <t>7</t>
  </si>
  <si>
    <t>131301110R00</t>
  </si>
  <si>
    <t>Hloubení nezapaž. jam hor.4 do 50 m3, STROJNĚ</t>
  </si>
  <si>
    <t>13_</t>
  </si>
  <si>
    <t>4+4+2</t>
  </si>
  <si>
    <t>vsakovací ryhy</t>
  </si>
  <si>
    <t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</t>
  </si>
  <si>
    <t>8</t>
  </si>
  <si>
    <t>162701105R00</t>
  </si>
  <si>
    <t>Vodorovné přemístění výkopku z hor.1-4 do 10000 m</t>
  </si>
  <si>
    <t>16_</t>
  </si>
  <si>
    <t>350+10-130</t>
  </si>
  <si>
    <t>9</t>
  </si>
  <si>
    <t>174101103R00</t>
  </si>
  <si>
    <t>Zásyp zářezů se šikmými stěnami se zhutněním</t>
  </si>
  <si>
    <t>17_</t>
  </si>
  <si>
    <t>130</t>
  </si>
  <si>
    <t>výměna podloží</t>
  </si>
  <si>
    <t>Položka obsahuje i přemístění materiálu pro zásyp ze vzdálenosti do 10 m od okraje zásypu.</t>
  </si>
  <si>
    <t>10</t>
  </si>
  <si>
    <t>58344171</t>
  </si>
  <si>
    <t>Štěrkodrtě frakce 0-32 C</t>
  </si>
  <si>
    <t>t</t>
  </si>
  <si>
    <t>M</t>
  </si>
  <si>
    <t>1295/2*0,3*2,2</t>
  </si>
  <si>
    <t>pro výměnu podloží</t>
  </si>
  <si>
    <t>174100010RA0</t>
  </si>
  <si>
    <t>Zásyp jam, rýh a šachet sypaninou</t>
  </si>
  <si>
    <t>2*2*0,9*2+2*1*0,9</t>
  </si>
  <si>
    <t>vsakovací rýhy</t>
  </si>
  <si>
    <t>583419003</t>
  </si>
  <si>
    <t>Kamenivo drcené frakce  32/63 B Jihomoravský kraj</t>
  </si>
  <si>
    <t>9*1,8</t>
  </si>
  <si>
    <t>181101102R00</t>
  </si>
  <si>
    <t>Úprava pláně v zářezech v hor. 1-4, se zhutněním</t>
  </si>
  <si>
    <t>18_</t>
  </si>
  <si>
    <t>1170+41+84</t>
  </si>
  <si>
    <t>Položky jsou shodné i pro úpravu pláně v násypech.</t>
  </si>
  <si>
    <t>14</t>
  </si>
  <si>
    <t>181301102R00</t>
  </si>
  <si>
    <t>Rozprostření ornice, rovina, tl. 10-15 cm,do 500m2</t>
  </si>
  <si>
    <t>420</t>
  </si>
  <si>
    <t>Položka se používá pro souvislé plochy do 500 m2.</t>
  </si>
  <si>
    <t>15</t>
  </si>
  <si>
    <t>199000005R00</t>
  </si>
  <si>
    <t>Poplatek za skládku zeminy 1- 4</t>
  </si>
  <si>
    <t>19_</t>
  </si>
  <si>
    <t>230*1,6</t>
  </si>
  <si>
    <t>213151121R00</t>
  </si>
  <si>
    <t>Obalení vsakovacích rýh geotextílií</t>
  </si>
  <si>
    <t>21_</t>
  </si>
  <si>
    <t>2_</t>
  </si>
  <si>
    <t>(2*2*2+2*0,9*4)*2</t>
  </si>
  <si>
    <t>2*1*2+2*0,9*2+1*0,9*2</t>
  </si>
  <si>
    <t>67352002</t>
  </si>
  <si>
    <t>Geotextilie netkaná 200 g/m2</t>
  </si>
  <si>
    <t>39,8*1,2</t>
  </si>
  <si>
    <t>geotextilie netkaná polyesterová. Vyrobená z bílé nebo šedé polyesterové střiže. Vhodná jako separační a filtrační vrstva různých typů zeminy, obalování drenážních trubek, separační vrstva pod štěrkové chodníky nebo jiné lehce zatížené zemní konstrukce, ochranná vrstva ve střešních konstrukcích.  Hlavní aplikace: Výstavba silnic, dálnic, železničních a tramvajových tratí, parkovišť, letišť, mostů; Separace drenážních vrstev u gabiónových konstrukcí či opěrných stěn z betonových tvarovek; Ekologické a vodohospodářské stavby - skládky odpadů a jejich sanace, čistírny odpadních vod, výstavba hrází; Pozemní stavitelství - spodní stavby, střešní pláště, zakládání zelených střech, bazény.  Plošná hmotnost 200 g/m2 Šířky 2,0 - 3,0 - 4,0 - 5,0 - 6,0 m Délka 50</t>
  </si>
  <si>
    <t>388996181R00</t>
  </si>
  <si>
    <t>Chránička kabelu z HDPE do DN 160 mm, výkop</t>
  </si>
  <si>
    <t>38_</t>
  </si>
  <si>
    <t>3_</t>
  </si>
  <si>
    <t>rezervní</t>
  </si>
  <si>
    <t>Položka obsahuje chráničku a násuvnou spojku. V položce není zakalkulováno obetonování trubek - oceňuje se položkami kapitoly 388 31.</t>
  </si>
  <si>
    <t>451577977R00</t>
  </si>
  <si>
    <t>Podklad pod dlažbu z štěrkodrti tl.do 10 cm</t>
  </si>
  <si>
    <t>45_</t>
  </si>
  <si>
    <t>4_</t>
  </si>
  <si>
    <t>0,7*23</t>
  </si>
  <si>
    <t>Položa je určena i pro podklad nebo lože pod dlažby (přídlažby) silničních příkopů a kuželů. V položce nejsou zakalkulovány náklady na úpravu pláně a svahování, které se oceňují položkami Sborníku 800-1 Zemní práce</t>
  </si>
  <si>
    <t>20</t>
  </si>
  <si>
    <t>451579977R00</t>
  </si>
  <si>
    <t>Příplatek za každý další 1 cm štěrkodrti nad 10 cm</t>
  </si>
  <si>
    <t>0,7*23*5</t>
  </si>
  <si>
    <t>565141111R00</t>
  </si>
  <si>
    <t>Podklad z obal kam.ACP 16+,ACP 22+,do 3 m,tl. 6 cm</t>
  </si>
  <si>
    <t>56_</t>
  </si>
  <si>
    <t>5_</t>
  </si>
  <si>
    <t>307</t>
  </si>
  <si>
    <t>22</t>
  </si>
  <si>
    <t>564861113RT2</t>
  </si>
  <si>
    <t>Podklad ze štěrkodrti po zhutnění tloušťky 22 cm</t>
  </si>
  <si>
    <t>štěrkodrť frakce 0-32 mm</t>
  </si>
  <si>
    <t>350+828+84</t>
  </si>
  <si>
    <t>vrstva tl. 200-240 mm</t>
  </si>
  <si>
    <t>23</t>
  </si>
  <si>
    <t>567122114R00</t>
  </si>
  <si>
    <t>Podklad z kameniva zpev.cementem SC C8/10 tl.15 cm</t>
  </si>
  <si>
    <t>307+828</t>
  </si>
  <si>
    <t>24</t>
  </si>
  <si>
    <t>569851111R00</t>
  </si>
  <si>
    <t>Zpevnění krajnic štěrkodrtí tloušťky  15 cm</t>
  </si>
  <si>
    <t>316</t>
  </si>
  <si>
    <t>25</t>
  </si>
  <si>
    <t>564-01 VD</t>
  </si>
  <si>
    <t>štěrkodrť frakce 0-63 mm a příměsí zeminy 20-30%</t>
  </si>
  <si>
    <t>41</t>
  </si>
  <si>
    <t>26</t>
  </si>
  <si>
    <t>564-02 VD</t>
  </si>
  <si>
    <t>Podklad z kameniva drceného vel.16/32 mm, tl. 10 cm</t>
  </si>
  <si>
    <t>s příměsí  humusové zeminy 20-30%</t>
  </si>
  <si>
    <t>27</t>
  </si>
  <si>
    <t>564-03 VD</t>
  </si>
  <si>
    <t>Štěrk veválcovaný po osetí po zhutnění tloušťky 3 cm</t>
  </si>
  <si>
    <t>frakce 16-22 mm</t>
  </si>
  <si>
    <t>28</t>
  </si>
  <si>
    <t>564861111RT2</t>
  </si>
  <si>
    <t>Podklad ze štěrkodrti po zhutnění tloušťky 20 cm</t>
  </si>
  <si>
    <t>84</t>
  </si>
  <si>
    <t>29</t>
  </si>
  <si>
    <t>577131111R00</t>
  </si>
  <si>
    <t>Beton asfalt. ACO 11+ obrusný, š. do 3 m, tl. 4 cm</t>
  </si>
  <si>
    <t>57_</t>
  </si>
  <si>
    <t>30</t>
  </si>
  <si>
    <t>573231110R00</t>
  </si>
  <si>
    <t>Postřik živičný spojovací z emulze 0,3-0,5 kg/m2</t>
  </si>
  <si>
    <t>307*2</t>
  </si>
  <si>
    <t>574391111R00</t>
  </si>
  <si>
    <t>Makadam hrubý s asfalt. postřikem a posypem, 10 cm</t>
  </si>
  <si>
    <t>768</t>
  </si>
  <si>
    <t>32</t>
  </si>
  <si>
    <t>573431111R00</t>
  </si>
  <si>
    <t>Nátěr živičný s posypem, emulze siliční,1,20 kg/m2</t>
  </si>
  <si>
    <t>33</t>
  </si>
  <si>
    <t>597101113RT1</t>
  </si>
  <si>
    <t>Montáž odvodňovacího žlabu - polymerbeton D 400</t>
  </si>
  <si>
    <t>59_</t>
  </si>
  <si>
    <t>včetně beton. lože C16/20,zatížení C 250, D 400 kN</t>
  </si>
  <si>
    <t>3+2+2</t>
  </si>
  <si>
    <t>Položka je určena pro montáž odvodňovacího žlabu z polymerbetonu včetně betonového lože. Žlaby slouží k odvedení povrchové vody ze zpeněných ploch, rozhodující pro volbu položky je třída zatížení. V položce nejsou zakalkulovány náklady na dodávku žlabu. Tyto náklady ce oceňují ve specifikaci</t>
  </si>
  <si>
    <t>34</t>
  </si>
  <si>
    <t>592272230000</t>
  </si>
  <si>
    <t>Žlab DN 150 dl. 1000 mm</t>
  </si>
  <si>
    <t>kus</t>
  </si>
  <si>
    <t>Liniový odvodňovací žlab DN 150 dle normy ČSN EN 1433 s ochranou hran s příčným řezem ve tvaru písmene V světlá šířka 15,0 cm třídy zatížení  D 400. Žlabové těleso V 150 s Drainlock z polymerického betonu, s integrovanou ochranou hran, s bezpečnostní drážkou, pro vodotěsnou pokládku  Stavební výška: začátek: 21,0 cm konec:  21,0 cm  hrana z tvárné litiny 5 m</t>
  </si>
  <si>
    <t>35</t>
  </si>
  <si>
    <t>59227243300</t>
  </si>
  <si>
    <t>Stěna čelní žlabu DN 150 hrana litina</t>
  </si>
  <si>
    <t>36</t>
  </si>
  <si>
    <t>597103112RT1</t>
  </si>
  <si>
    <t>Montáž vpusti pro žlaby polymerbetonové D400</t>
  </si>
  <si>
    <t>včetně obetonování C 12/15,zatížení D 400-E 600 kN</t>
  </si>
  <si>
    <t>Položka je určena pro montáž vpusti odvodňovacího žlabu z polymerbetonu včetně betonového lože. Žlaby a vpusti slouží k odvedení povrchové vody ze zpeněných ploch, pro volbu položky je rozhodující třída zatížení. V položce nejsou zakalkulovány náklady na dodávku vpusti. Tyto náklady ce oceňují ve specifikaci</t>
  </si>
  <si>
    <t>37</t>
  </si>
  <si>
    <t>5922723330</t>
  </si>
  <si>
    <t>Vpust žlabová DN 150  hrana litina</t>
  </si>
  <si>
    <t>s ochranou hran s příčným řezem ve tvaru písmene V světlá šířka 15,0 cm třída zatížení D 400. Vpust V 150 jednodílná z polymerického betonu, s integrovanou ochranou hran, s lapačem nečistot, s vystřihovatelnou připojovací šablonou, s integrovaným břitovým labyrintovým těsněním  ochranná hrana z tvárné litiny 5 m</t>
  </si>
  <si>
    <t>597073226R00</t>
  </si>
  <si>
    <t>Krycí rošt DN 150, zatížení D 400, dl. 500 mm</t>
  </si>
  <si>
    <t>Položka je určena pro osazení a dodávku krycího roštu z litiny. Zatížení D 400. Stavební délka 500 mm, světlá šířka 150 mm</t>
  </si>
  <si>
    <t>39</t>
  </si>
  <si>
    <t>597073205R00</t>
  </si>
  <si>
    <t>Klalový koš pro vpust  DN150</t>
  </si>
  <si>
    <t>Položka je určena pro osazení a dodávku kalového koše.</t>
  </si>
  <si>
    <t>40</t>
  </si>
  <si>
    <t>597661111R00</t>
  </si>
  <si>
    <t>Rigol dlážděn.do lože C16/20 tl.10cm kostky drobné</t>
  </si>
  <si>
    <t>Položka není určena pro dlažby příkopů, které se oceňují položkami souboru 594 ..- Dlažba nebo přídlažba. V položce nejsou zakalkulovány náklady na popř. nutné zemní práce, které se oceňují položkami části A 01 Sborníku 800-1 Zemní práce. Množství měrných jednotek se určuje v m2 rozvinuté plochy rigolu</t>
  </si>
  <si>
    <t>831350012RA0</t>
  </si>
  <si>
    <t>Kanalizace z trub PVC hrdlových D 160 mm</t>
  </si>
  <si>
    <t>83_</t>
  </si>
  <si>
    <t>8_</t>
  </si>
  <si>
    <t>přípojka vpusti</t>
  </si>
  <si>
    <t>V položce je zakalkulováno: hloubení rýh, pažení a rozepření rýh včetně přepažování, svislé přemístění, naložení přebytku po zásypu (0,524 m3/m rýhy) na dopravní prostředek, odvoz do 6 km a uložení na skládku, lože pod potrubí ze štěrkopísku, dodávka a montáž potrubí z trub PVC vnějšího průměru dle popisu,  zřízení kanalizační přípojky (1 kus/20 m potrubí), dodávka a montáž PVC tvarovek odbočných (1 kus/ 20 m potrubí), dodávka a montáž PVC tvarovek jednoosých (1 kus/ 20 m potrubí), obsyp potrubí pískem, zásyp rýhy sypaninou, se zhutněním. V položce není kalkulován poplatek za skládku zeminy. Tyto náklady se oceňují individuálně podle místních podmínek.</t>
  </si>
  <si>
    <t>42</t>
  </si>
  <si>
    <t>899331111R00</t>
  </si>
  <si>
    <t>Výšková úprava vstupu do 20 cm, zvýšení poklopu</t>
  </si>
  <si>
    <t>89_</t>
  </si>
  <si>
    <t>43</t>
  </si>
  <si>
    <t>919735111R00</t>
  </si>
  <si>
    <t>Řezání stávajícího živičného krytu tl. do 5 cm</t>
  </si>
  <si>
    <t>91_</t>
  </si>
  <si>
    <t>9_</t>
  </si>
  <si>
    <t>V položce jsou zakalkulovány i náklady na spotřebu vody</t>
  </si>
  <si>
    <t>44</t>
  </si>
  <si>
    <t>917862111R00</t>
  </si>
  <si>
    <t>Osazení stojat. obrub.bet. s opěrou,lože z C 16/20</t>
  </si>
  <si>
    <t>90+14+67</t>
  </si>
  <si>
    <t>Osazení betonového silničního nebo chodníkového obrubníku</t>
  </si>
  <si>
    <t>59217420</t>
  </si>
  <si>
    <t>Obrubník chodníkový ABO 13-10 1000/100/200</t>
  </si>
  <si>
    <t>90</t>
  </si>
  <si>
    <t>;ztratné 1%; 0,9</t>
  </si>
  <si>
    <t>cena Pardubice  Impregnace Protect System I</t>
  </si>
  <si>
    <t>46</t>
  </si>
  <si>
    <t>59217476</t>
  </si>
  <si>
    <t>Obrubník silniční nájezdový 1000/150/150 šedý</t>
  </si>
  <si>
    <t>67</t>
  </si>
  <si>
    <t>;ztratné 1%; 0,67</t>
  </si>
  <si>
    <t>47</t>
  </si>
  <si>
    <t>59217488</t>
  </si>
  <si>
    <t>Obrubník silniční ABO 2-15 1000/150/250</t>
  </si>
  <si>
    <t>;ztratné 1%; 0,14</t>
  </si>
  <si>
    <t>Impregnace Protect System I</t>
  </si>
  <si>
    <t>48</t>
  </si>
  <si>
    <t>919-01VD</t>
  </si>
  <si>
    <t>Zalití spár zálivkou za tepla</t>
  </si>
  <si>
    <t>včetně dodávky zálivky na bázi modifikoveného asfaltu</t>
  </si>
  <si>
    <t>19+2,5*2*3</t>
  </si>
  <si>
    <t>49</t>
  </si>
  <si>
    <t>460510312R00</t>
  </si>
  <si>
    <t>Chránička kabelová dělená, DN 160 mm</t>
  </si>
  <si>
    <t>M46_</t>
  </si>
  <si>
    <t>včetně zemních prací</t>
  </si>
  <si>
    <t>Položka obsahuje dodávku a montáž chráničky. Ohybový díl se oceňuje položkou č. 460 51-0318.R00</t>
  </si>
  <si>
    <t>50</t>
  </si>
  <si>
    <t>460620006RT1</t>
  </si>
  <si>
    <t>Osetí povrchu trávou</t>
  </si>
  <si>
    <t>včetně dodávky osiva</t>
  </si>
  <si>
    <t>420+41</t>
  </si>
  <si>
    <t>51</t>
  </si>
  <si>
    <t>979083117R00</t>
  </si>
  <si>
    <t>Vodorovné přemístění suti na skládku do 6000 m</t>
  </si>
  <si>
    <t>S_</t>
  </si>
  <si>
    <t>Pro volbu položky je rozhodující dopravní vzdálenost těžiště skládky a půdorysné plochy objektu. V položce jsou zakalkulovány i náklady na naložení suti na dopravní prostředek a složení</t>
  </si>
  <si>
    <t>52</t>
  </si>
  <si>
    <t>979083191R00</t>
  </si>
  <si>
    <t>Příplatek za dalších započatých 1000 m nad 6000 m</t>
  </si>
  <si>
    <t>895,6*9</t>
  </si>
  <si>
    <t>odvoz do 15 km</t>
  </si>
  <si>
    <t>53</t>
  </si>
  <si>
    <t>979084216R00</t>
  </si>
  <si>
    <t>Vodorovná doprava vybour. hmot po suchu do 5 km</t>
  </si>
  <si>
    <t>54</t>
  </si>
  <si>
    <t>979084219R00</t>
  </si>
  <si>
    <t>Příplatek k dopravě vybour.hmot za dalších 5 km</t>
  </si>
  <si>
    <t>3,875*2</t>
  </si>
  <si>
    <t>55</t>
  </si>
  <si>
    <t>979-01 VD</t>
  </si>
  <si>
    <t>Poplatek za skládku suti-obal.kam.-asfalt do 30x30</t>
  </si>
  <si>
    <t>979999997R00</t>
  </si>
  <si>
    <t>Poplatek za skládku čistá suť - DUFONEV Brno</t>
  </si>
  <si>
    <t>979990103R00</t>
  </si>
  <si>
    <t>Poplatek za skládku suti - beton do 30x30 cm</t>
  </si>
  <si>
    <t>Položka je určena pro suť o velikosti kusu do 30x30 cm (technologický materiál určený k recyklaci).</t>
  </si>
  <si>
    <t>998225111R00</t>
  </si>
  <si>
    <t>Přesun hmot, pozemní komunikace, kryt živičný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</si>
</sst>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</font>
    <font>
      <sz val="10"/>
      <name val="Arial"/>
    </font>
    <font>
      <sz val="18"/>
      <name val="Arial"/>
    </font>
    <font>
      <b/>
      <sz val="10"/>
      <name val="Arial"/>
    </font>
    <font>
      <b/>
      <sz val="18"/>
      <name val="Arial"/>
    </font>
    <font>
      <b/>
      <sz val="20"/>
      <name val="Arial"/>
    </font>
    <font>
      <b/>
      <sz val="11"/>
      <name val="Arial"/>
    </font>
    <font>
      <b/>
      <sz val="12"/>
      <name val="Arial"/>
    </font>
    <font>
      <sz val="12"/>
      <name val="Arial"/>
    </font>
    <font>
      <i/>
      <sz val="8"/>
      <name val="Arial"/>
    </font>
    <font>
      <i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7" fillId="2" borderId="1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9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49" fontId="3" fillId="0" borderId="27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9" fontId="1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left" vertical="center"/>
    </xf>
    <xf numFmtId="49" fontId="3" fillId="2" borderId="22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4" fontId="3" fillId="2" borderId="22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top"/>
    </xf>
    <xf numFmtId="49" fontId="1" fillId="2" borderId="5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3" fillId="2" borderId="6" xfId="0" applyNumberFormat="1" applyFont="1" applyFill="1" applyBorder="1" applyAlignment="1">
      <alignment horizontal="right" vertical="center"/>
    </xf>
    <xf numFmtId="49" fontId="1" fillId="0" borderId="7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7" fillId="2" borderId="15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left" vertical="center"/>
    </xf>
    <xf numFmtId="49" fontId="3" fillId="2" borderId="22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289247</xdr:colOff>
      <xdr:row>0</xdr:row>
      <xdr:rowOff>887263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442577</xdr:colOff>
      <xdr:row>0</xdr:row>
      <xdr:rowOff>887263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667029</xdr:colOff>
      <xdr:row>0</xdr:row>
      <xdr:rowOff>887263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workbookViewId="0">
      <selection activeCell="L13" sqref="L13"/>
    </sheetView>
  </sheetViews>
  <sheetFormatPr defaultColWidth="11.42578125" defaultRowHeight="12.75" customHeight="1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  <col min="10" max="257" width="11.5703125" customWidth="1"/>
  </cols>
  <sheetData>
    <row r="1" spans="1:10" ht="72.95" customHeight="1" x14ac:dyDescent="0.2">
      <c r="A1" s="1"/>
      <c r="B1" s="2"/>
      <c r="C1" s="82" t="s">
        <v>0</v>
      </c>
      <c r="D1" s="82"/>
      <c r="E1" s="82"/>
      <c r="F1" s="82"/>
      <c r="G1" s="82"/>
      <c r="H1" s="82"/>
      <c r="I1" s="82"/>
    </row>
    <row r="2" spans="1:10" ht="12.75" customHeight="1" x14ac:dyDescent="0.2">
      <c r="A2" s="83" t="s">
        <v>1</v>
      </c>
      <c r="B2" s="83"/>
      <c r="C2" s="84" t="str">
        <f>'Stavební rozpočet'!C2</f>
        <v>OPRAVA ÚČELOVÉ KOMUNIKACE V ÚSEKU OD HASIČSKÉ ZBROJNICE PO RANČ "CH"</v>
      </c>
      <c r="D2" s="84"/>
      <c r="E2" s="85" t="s">
        <v>2</v>
      </c>
      <c r="F2" s="85" t="str">
        <f>'Stavební rozpočet'!J2</f>
        <v>MČ Brno - Ořešín</v>
      </c>
      <c r="G2" s="85"/>
      <c r="H2" s="85" t="s">
        <v>3</v>
      </c>
      <c r="I2" s="86"/>
      <c r="J2" s="3"/>
    </row>
    <row r="3" spans="1:10" ht="25.7" customHeight="1" x14ac:dyDescent="0.2">
      <c r="A3" s="83"/>
      <c r="B3" s="83"/>
      <c r="C3" s="84"/>
      <c r="D3" s="84"/>
      <c r="E3" s="85"/>
      <c r="F3" s="85"/>
      <c r="G3" s="85"/>
      <c r="H3" s="85"/>
      <c r="I3" s="86"/>
      <c r="J3" s="3"/>
    </row>
    <row r="4" spans="1:10" ht="12.75" customHeight="1" x14ac:dyDescent="0.2">
      <c r="A4" s="80" t="s">
        <v>4</v>
      </c>
      <c r="B4" s="80"/>
      <c r="C4" s="67" t="str">
        <f>'Stavební rozpočet'!C4</f>
        <v>SO 102 - Komunikace - úsek 2, revize 01</v>
      </c>
      <c r="D4" s="67"/>
      <c r="E4" s="67" t="s">
        <v>5</v>
      </c>
      <c r="F4" s="67" t="str">
        <f>'Stavební rozpočet'!J4</f>
        <v>MATULA projekt s.r.o., Jana Babáka 11, 61200 Brno</v>
      </c>
      <c r="G4" s="67"/>
      <c r="H4" s="67" t="s">
        <v>3</v>
      </c>
      <c r="I4" s="75" t="s">
        <v>6</v>
      </c>
      <c r="J4" s="3"/>
    </row>
    <row r="5" spans="1:10" x14ac:dyDescent="0.2">
      <c r="A5" s="80"/>
      <c r="B5" s="80"/>
      <c r="C5" s="67"/>
      <c r="D5" s="67"/>
      <c r="E5" s="67"/>
      <c r="F5" s="67"/>
      <c r="G5" s="67"/>
      <c r="H5" s="67"/>
      <c r="I5" s="75"/>
      <c r="J5" s="3"/>
    </row>
    <row r="6" spans="1:10" ht="12.75" customHeight="1" x14ac:dyDescent="0.2">
      <c r="A6" s="80" t="s">
        <v>7</v>
      </c>
      <c r="B6" s="80"/>
      <c r="C6" s="67" t="str">
        <f>'Stavební rozpočet'!C6</f>
        <v>Brno - Ořešín</v>
      </c>
      <c r="D6" s="67"/>
      <c r="E6" s="67" t="s">
        <v>8</v>
      </c>
      <c r="F6" s="67" t="str">
        <f>'Stavební rozpočet'!J6</f>
        <v> </v>
      </c>
      <c r="G6" s="67"/>
      <c r="H6" s="67" t="s">
        <v>3</v>
      </c>
      <c r="I6" s="75"/>
      <c r="J6" s="3"/>
    </row>
    <row r="7" spans="1:10" x14ac:dyDescent="0.2">
      <c r="A7" s="80"/>
      <c r="B7" s="80"/>
      <c r="C7" s="67"/>
      <c r="D7" s="67"/>
      <c r="E7" s="67"/>
      <c r="F7" s="67"/>
      <c r="G7" s="67"/>
      <c r="H7" s="67"/>
      <c r="I7" s="75"/>
      <c r="J7" s="3"/>
    </row>
    <row r="8" spans="1:10" ht="12.75" customHeight="1" x14ac:dyDescent="0.2">
      <c r="A8" s="80" t="s">
        <v>9</v>
      </c>
      <c r="B8" s="80"/>
      <c r="C8" s="67" t="str">
        <f>'Stavební rozpočet'!G4</f>
        <v xml:space="preserve"> </v>
      </c>
      <c r="D8" s="67"/>
      <c r="E8" s="67" t="s">
        <v>10</v>
      </c>
      <c r="F8" s="67" t="str">
        <f>'Stavební rozpočet'!G6</f>
        <v xml:space="preserve"> </v>
      </c>
      <c r="G8" s="67"/>
      <c r="H8" s="81" t="s">
        <v>11</v>
      </c>
      <c r="I8" s="75" t="s">
        <v>12</v>
      </c>
      <c r="J8" s="3"/>
    </row>
    <row r="9" spans="1:10" x14ac:dyDescent="0.2">
      <c r="A9" s="80"/>
      <c r="B9" s="80"/>
      <c r="C9" s="67"/>
      <c r="D9" s="67"/>
      <c r="E9" s="67"/>
      <c r="F9" s="67"/>
      <c r="G9" s="67"/>
      <c r="H9" s="81"/>
      <c r="I9" s="75"/>
      <c r="J9" s="3"/>
    </row>
    <row r="10" spans="1:10" ht="12.75" customHeight="1" x14ac:dyDescent="0.2">
      <c r="A10" s="76" t="s">
        <v>13</v>
      </c>
      <c r="B10" s="76"/>
      <c r="C10" s="77" t="str">
        <f>'Stavební rozpočet'!C8</f>
        <v xml:space="preserve"> </v>
      </c>
      <c r="D10" s="77"/>
      <c r="E10" s="77" t="s">
        <v>14</v>
      </c>
      <c r="F10" s="77" t="str">
        <f>'Stavební rozpočet'!J8</f>
        <v>Ing. Radka Matulová</v>
      </c>
      <c r="G10" s="77"/>
      <c r="H10" s="78" t="s">
        <v>15</v>
      </c>
      <c r="I10" s="79" t="str">
        <f>'Stavební rozpočet'!G8</f>
        <v>12.10.2022</v>
      </c>
      <c r="J10" s="3"/>
    </row>
    <row r="11" spans="1:10" x14ac:dyDescent="0.2">
      <c r="A11" s="76"/>
      <c r="B11" s="76"/>
      <c r="C11" s="77"/>
      <c r="D11" s="77"/>
      <c r="E11" s="77"/>
      <c r="F11" s="77"/>
      <c r="G11" s="77"/>
      <c r="H11" s="78"/>
      <c r="I11" s="79"/>
      <c r="J11" s="3"/>
    </row>
    <row r="12" spans="1:10" ht="23.45" customHeight="1" x14ac:dyDescent="0.2">
      <c r="A12" s="73" t="s">
        <v>16</v>
      </c>
      <c r="B12" s="73"/>
      <c r="C12" s="73"/>
      <c r="D12" s="73"/>
      <c r="E12" s="73"/>
      <c r="F12" s="73"/>
      <c r="G12" s="73"/>
      <c r="H12" s="73"/>
      <c r="I12" s="73"/>
    </row>
    <row r="13" spans="1:10" ht="26.45" customHeight="1" x14ac:dyDescent="0.2">
      <c r="A13" s="6" t="s">
        <v>17</v>
      </c>
      <c r="B13" s="74" t="s">
        <v>18</v>
      </c>
      <c r="C13" s="74"/>
      <c r="D13" s="6" t="s">
        <v>19</v>
      </c>
      <c r="E13" s="74" t="s">
        <v>20</v>
      </c>
      <c r="F13" s="74"/>
      <c r="G13" s="6" t="s">
        <v>21</v>
      </c>
      <c r="H13" s="74" t="s">
        <v>22</v>
      </c>
      <c r="I13" s="74"/>
      <c r="J13" s="3"/>
    </row>
    <row r="14" spans="1:10" ht="15.2" customHeight="1" x14ac:dyDescent="0.2">
      <c r="A14" s="7" t="s">
        <v>23</v>
      </c>
      <c r="B14" s="8" t="s">
        <v>24</v>
      </c>
      <c r="C14" s="9">
        <f>SUM('Stavební rozpočet'!AB12:AB182)</f>
        <v>0</v>
      </c>
      <c r="D14" s="72" t="s">
        <v>25</v>
      </c>
      <c r="E14" s="72"/>
      <c r="F14" s="9">
        <v>0</v>
      </c>
      <c r="G14" s="72" t="s">
        <v>26</v>
      </c>
      <c r="H14" s="72"/>
      <c r="I14" s="10" t="s">
        <v>27</v>
      </c>
      <c r="J14" s="3"/>
    </row>
    <row r="15" spans="1:10" ht="15.2" customHeight="1" x14ac:dyDescent="0.2">
      <c r="A15" s="11"/>
      <c r="B15" s="8" t="s">
        <v>28</v>
      </c>
      <c r="C15" s="9">
        <f>SUM('Stavební rozpočet'!AC12:AC182)</f>
        <v>0</v>
      </c>
      <c r="D15" s="72" t="s">
        <v>29</v>
      </c>
      <c r="E15" s="72"/>
      <c r="F15" s="9">
        <v>0</v>
      </c>
      <c r="G15" s="72" t="s">
        <v>30</v>
      </c>
      <c r="H15" s="72"/>
      <c r="I15" s="10" t="s">
        <v>27</v>
      </c>
      <c r="J15" s="3"/>
    </row>
    <row r="16" spans="1:10" ht="15.2" customHeight="1" x14ac:dyDescent="0.2">
      <c r="A16" s="7" t="s">
        <v>31</v>
      </c>
      <c r="B16" s="8" t="s">
        <v>24</v>
      </c>
      <c r="C16" s="9">
        <f>SUM('Stavební rozpočet'!AD12:AD182)</f>
        <v>0</v>
      </c>
      <c r="D16" s="72" t="s">
        <v>32</v>
      </c>
      <c r="E16" s="72"/>
      <c r="F16" s="9">
        <v>0</v>
      </c>
      <c r="G16" s="72" t="s">
        <v>33</v>
      </c>
      <c r="H16" s="72"/>
      <c r="I16" s="10" t="s">
        <v>27</v>
      </c>
      <c r="J16" s="3"/>
    </row>
    <row r="17" spans="1:10" ht="15.2" customHeight="1" x14ac:dyDescent="0.2">
      <c r="A17" s="11"/>
      <c r="B17" s="8" t="s">
        <v>28</v>
      </c>
      <c r="C17" s="9">
        <f>SUM('Stavební rozpočet'!AE12:AE182)</f>
        <v>0</v>
      </c>
      <c r="D17" s="72"/>
      <c r="E17" s="72"/>
      <c r="F17" s="10"/>
      <c r="G17" s="72" t="s">
        <v>34</v>
      </c>
      <c r="H17" s="72"/>
      <c r="I17" s="10" t="s">
        <v>27</v>
      </c>
      <c r="J17" s="3"/>
    </row>
    <row r="18" spans="1:10" ht="15.2" customHeight="1" x14ac:dyDescent="0.2">
      <c r="A18" s="7" t="s">
        <v>35</v>
      </c>
      <c r="B18" s="8" t="s">
        <v>24</v>
      </c>
      <c r="C18" s="9">
        <f>SUM('Stavební rozpočet'!AF12:AF182)</f>
        <v>0</v>
      </c>
      <c r="D18" s="72"/>
      <c r="E18" s="72"/>
      <c r="F18" s="10"/>
      <c r="G18" s="72" t="s">
        <v>36</v>
      </c>
      <c r="H18" s="72"/>
      <c r="I18" s="10" t="s">
        <v>27</v>
      </c>
      <c r="J18" s="3"/>
    </row>
    <row r="19" spans="1:10" ht="15.2" customHeight="1" x14ac:dyDescent="0.2">
      <c r="A19" s="11"/>
      <c r="B19" s="8" t="s">
        <v>28</v>
      </c>
      <c r="C19" s="9">
        <f>SUM('Stavební rozpočet'!AG12:AG182)</f>
        <v>0</v>
      </c>
      <c r="D19" s="72"/>
      <c r="E19" s="72"/>
      <c r="F19" s="10"/>
      <c r="G19" s="72" t="s">
        <v>37</v>
      </c>
      <c r="H19" s="72"/>
      <c r="I19" s="10" t="s">
        <v>27</v>
      </c>
      <c r="J19" s="3"/>
    </row>
    <row r="20" spans="1:10" ht="15.2" customHeight="1" x14ac:dyDescent="0.2">
      <c r="A20" s="71" t="s">
        <v>38</v>
      </c>
      <c r="B20" s="71"/>
      <c r="C20" s="9">
        <f>SUM('Stavební rozpočet'!AH12:AH182)</f>
        <v>0</v>
      </c>
      <c r="D20" s="72"/>
      <c r="E20" s="72"/>
      <c r="F20" s="10"/>
      <c r="G20" s="72"/>
      <c r="H20" s="72"/>
      <c r="I20" s="10"/>
      <c r="J20" s="3"/>
    </row>
    <row r="21" spans="1:10" ht="15.2" customHeight="1" x14ac:dyDescent="0.2">
      <c r="A21" s="71" t="s">
        <v>39</v>
      </c>
      <c r="B21" s="71"/>
      <c r="C21" s="9">
        <f>SUM('Stavební rozpočet'!Z12:Z182)</f>
        <v>0</v>
      </c>
      <c r="D21" s="72"/>
      <c r="E21" s="72"/>
      <c r="F21" s="10"/>
      <c r="G21" s="72"/>
      <c r="H21" s="72"/>
      <c r="I21" s="10"/>
      <c r="J21" s="3"/>
    </row>
    <row r="22" spans="1:10" ht="16.7" customHeight="1" x14ac:dyDescent="0.2">
      <c r="A22" s="71" t="s">
        <v>40</v>
      </c>
      <c r="B22" s="71"/>
      <c r="C22" s="9">
        <f>SUM(C14:C21)</f>
        <v>0</v>
      </c>
      <c r="D22" s="71" t="s">
        <v>41</v>
      </c>
      <c r="E22" s="71"/>
      <c r="F22" s="9">
        <f>SUM(F14:F21)</f>
        <v>0</v>
      </c>
      <c r="G22" s="71" t="s">
        <v>42</v>
      </c>
      <c r="H22" s="71"/>
      <c r="I22" s="9">
        <f>SUM(I14:I21)</f>
        <v>0</v>
      </c>
      <c r="J22" s="3"/>
    </row>
    <row r="23" spans="1:10" ht="15.2" customHeight="1" x14ac:dyDescent="0.2">
      <c r="A23" s="12"/>
      <c r="B23" s="12"/>
      <c r="C23" s="13"/>
      <c r="D23" s="71" t="s">
        <v>43</v>
      </c>
      <c r="E23" s="71"/>
      <c r="F23" s="14">
        <v>0</v>
      </c>
      <c r="G23" s="71" t="s">
        <v>44</v>
      </c>
      <c r="H23" s="71"/>
      <c r="I23" s="9">
        <v>0</v>
      </c>
      <c r="J23" s="3"/>
    </row>
    <row r="24" spans="1:10" ht="15.2" customHeight="1" x14ac:dyDescent="0.2">
      <c r="D24" s="12"/>
      <c r="E24" s="12"/>
      <c r="F24" s="15"/>
      <c r="G24" s="71" t="s">
        <v>45</v>
      </c>
      <c r="H24" s="71"/>
      <c r="I24" s="16"/>
    </row>
    <row r="25" spans="1:10" ht="15.2" customHeight="1" x14ac:dyDescent="0.2">
      <c r="F25" s="17"/>
      <c r="G25" s="71" t="s">
        <v>46</v>
      </c>
      <c r="H25" s="71"/>
      <c r="I25" s="9">
        <v>0</v>
      </c>
      <c r="J25" s="3"/>
    </row>
    <row r="26" spans="1:10" x14ac:dyDescent="0.2">
      <c r="A26" s="2"/>
      <c r="B26" s="2"/>
      <c r="C26" s="2"/>
      <c r="G26" s="12"/>
      <c r="H26" s="12"/>
      <c r="I26" s="12"/>
    </row>
    <row r="27" spans="1:10" ht="15.2" customHeight="1" x14ac:dyDescent="0.2">
      <c r="A27" s="70" t="s">
        <v>47</v>
      </c>
      <c r="B27" s="70"/>
      <c r="C27" s="18">
        <f>SUM('Stavební rozpočet'!AJ12:AJ182)</f>
        <v>0</v>
      </c>
      <c r="D27" s="19"/>
      <c r="E27" s="2"/>
      <c r="F27" s="2"/>
      <c r="G27" s="2"/>
      <c r="H27" s="2"/>
      <c r="I27" s="2"/>
    </row>
    <row r="28" spans="1:10" ht="15.2" customHeight="1" x14ac:dyDescent="0.2">
      <c r="A28" s="70" t="s">
        <v>48</v>
      </c>
      <c r="B28" s="70"/>
      <c r="C28" s="18">
        <f>SUM('Stavební rozpočet'!AK12:AK182)</f>
        <v>0</v>
      </c>
      <c r="D28" s="70" t="s">
        <v>49</v>
      </c>
      <c r="E28" s="70"/>
      <c r="F28" s="18">
        <f>ROUND(C28*(15/100),2)</f>
        <v>0</v>
      </c>
      <c r="G28" s="70" t="s">
        <v>50</v>
      </c>
      <c r="H28" s="70"/>
      <c r="I28" s="18">
        <f>SUM(C27:C29)</f>
        <v>0</v>
      </c>
      <c r="J28" s="3"/>
    </row>
    <row r="29" spans="1:10" ht="15.2" customHeight="1" x14ac:dyDescent="0.2">
      <c r="A29" s="70" t="s">
        <v>51</v>
      </c>
      <c r="B29" s="70"/>
      <c r="C29" s="18">
        <f>SUM('Stavební rozpočet'!AL12:AL182)+(F22+I22+F23+I23+I24+I25)</f>
        <v>0</v>
      </c>
      <c r="D29" s="70" t="s">
        <v>52</v>
      </c>
      <c r="E29" s="70"/>
      <c r="F29" s="18">
        <f>ROUND(C29*(21/100),2)</f>
        <v>0</v>
      </c>
      <c r="G29" s="70" t="s">
        <v>53</v>
      </c>
      <c r="H29" s="70"/>
      <c r="I29" s="18">
        <f>SUM(F28:F29)+I28</f>
        <v>0</v>
      </c>
      <c r="J29" s="3"/>
    </row>
    <row r="30" spans="1:10" x14ac:dyDescent="0.2">
      <c r="A30" s="20"/>
      <c r="B30" s="20"/>
      <c r="C30" s="20"/>
      <c r="D30" s="20"/>
      <c r="E30" s="20"/>
      <c r="F30" s="20"/>
      <c r="G30" s="20"/>
      <c r="H30" s="20"/>
      <c r="I30" s="20"/>
    </row>
    <row r="31" spans="1:10" ht="14.45" customHeight="1" x14ac:dyDescent="0.2">
      <c r="A31" s="69" t="s">
        <v>54</v>
      </c>
      <c r="B31" s="69"/>
      <c r="C31" s="69"/>
      <c r="D31" s="69" t="s">
        <v>55</v>
      </c>
      <c r="E31" s="69"/>
      <c r="F31" s="69"/>
      <c r="G31" s="69" t="s">
        <v>56</v>
      </c>
      <c r="H31" s="69"/>
      <c r="I31" s="69"/>
      <c r="J31" s="21"/>
    </row>
    <row r="32" spans="1:10" ht="14.45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21"/>
    </row>
    <row r="33" spans="1:10" ht="14.45" customHeight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21"/>
    </row>
    <row r="34" spans="1:10" ht="14.45" customHeight="1" x14ac:dyDescent="0.2">
      <c r="A34" s="68"/>
      <c r="B34" s="68"/>
      <c r="C34" s="68"/>
      <c r="D34" s="68"/>
      <c r="E34" s="68"/>
      <c r="F34" s="68"/>
      <c r="G34" s="68"/>
      <c r="H34" s="68"/>
      <c r="I34" s="68"/>
      <c r="J34" s="21"/>
    </row>
    <row r="35" spans="1:10" ht="14.45" customHeight="1" x14ac:dyDescent="0.2">
      <c r="A35" s="66" t="s">
        <v>57</v>
      </c>
      <c r="B35" s="66"/>
      <c r="C35" s="66"/>
      <c r="D35" s="66" t="s">
        <v>57</v>
      </c>
      <c r="E35" s="66"/>
      <c r="F35" s="66"/>
      <c r="G35" s="66" t="s">
        <v>57</v>
      </c>
      <c r="H35" s="66"/>
      <c r="I35" s="66"/>
      <c r="J35" s="21"/>
    </row>
    <row r="36" spans="1:10" ht="11.25" customHeight="1" x14ac:dyDescent="0.2">
      <c r="A36" s="22" t="s">
        <v>58</v>
      </c>
      <c r="B36" s="23"/>
      <c r="C36" s="23"/>
      <c r="D36" s="23"/>
      <c r="E36" s="23"/>
      <c r="F36" s="23"/>
      <c r="G36" s="23"/>
      <c r="H36" s="23"/>
      <c r="I36" s="23"/>
    </row>
    <row r="37" spans="1:10" x14ac:dyDescent="0.2">
      <c r="A37" s="67"/>
      <c r="B37" s="67"/>
      <c r="C37" s="67"/>
      <c r="D37" s="67"/>
      <c r="E37" s="67"/>
      <c r="F37" s="67"/>
      <c r="G37" s="67"/>
      <c r="H37" s="67"/>
      <c r="I37" s="67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5:C35"/>
    <mergeCell ref="D35:F35"/>
    <mergeCell ref="G35:I35"/>
    <mergeCell ref="A37:I37"/>
    <mergeCell ref="A33:C33"/>
    <mergeCell ref="D33:F33"/>
    <mergeCell ref="G33:I33"/>
    <mergeCell ref="A34:C34"/>
    <mergeCell ref="D34:F34"/>
    <mergeCell ref="G34:I34"/>
  </mergeCells>
  <printOptions gridLines="1"/>
  <pageMargins left="0.39370078740157477" right="0.39370078740157477" top="0.59055118110236238" bottom="0.59055118110236238" header="0.51180599999999998" footer="0.51180599999999998"/>
  <pageSetup paperSize="9" scale="72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pane ySplit="10" topLeftCell="A11" activePane="bottomLeft" state="frozen"/>
      <selection activeCell="E37" sqref="E37"/>
      <selection pane="bottomLeft"/>
    </sheetView>
  </sheetViews>
  <sheetFormatPr defaultColWidth="11.42578125" defaultRowHeight="12.75" customHeight="1" x14ac:dyDescent="0.2"/>
  <cols>
    <col min="1" max="2" width="3.5703125" customWidth="1"/>
    <col min="3" max="3" width="57.140625" customWidth="1"/>
    <col min="4" max="4" width="15.85546875" customWidth="1"/>
    <col min="5" max="5" width="22.140625" customWidth="1"/>
    <col min="6" max="6" width="21" customWidth="1"/>
    <col min="7" max="7" width="24.42578125" customWidth="1"/>
    <col min="8" max="8" width="0" hidden="1"/>
    <col min="9" max="9" width="2.28515625" customWidth="1"/>
    <col min="10" max="257" width="11.5703125" customWidth="1"/>
  </cols>
  <sheetData>
    <row r="1" spans="1:9" ht="72.95" customHeight="1" x14ac:dyDescent="0.35">
      <c r="A1" s="96" t="s">
        <v>59</v>
      </c>
      <c r="B1" s="96"/>
      <c r="C1" s="96"/>
      <c r="D1" s="96"/>
      <c r="E1" s="96"/>
      <c r="F1" s="96"/>
      <c r="G1" s="96"/>
    </row>
    <row r="2" spans="1:9" ht="12.75" customHeight="1" x14ac:dyDescent="0.2">
      <c r="A2" s="83" t="s">
        <v>1</v>
      </c>
      <c r="B2" s="83"/>
      <c r="C2" s="84" t="str">
        <f>'Stavební rozpočet'!C2</f>
        <v>OPRAVA ÚČELOVÉ KOMUNIKACE V ÚSEKU OD HASIČSKÉ ZBROJNICE PO RANČ "CH"</v>
      </c>
      <c r="D2" s="97" t="s">
        <v>60</v>
      </c>
      <c r="E2" s="97" t="s">
        <v>61</v>
      </c>
      <c r="F2" s="85" t="s">
        <v>2</v>
      </c>
      <c r="G2" s="98" t="str">
        <f>'Stavební rozpočet'!J2</f>
        <v>MČ Brno - Ořešín</v>
      </c>
      <c r="H2" s="3"/>
    </row>
    <row r="3" spans="1:9" x14ac:dyDescent="0.2">
      <c r="A3" s="83"/>
      <c r="B3" s="83"/>
      <c r="C3" s="84"/>
      <c r="D3" s="97"/>
      <c r="E3" s="97"/>
      <c r="F3" s="97"/>
      <c r="G3" s="98"/>
      <c r="H3" s="3"/>
    </row>
    <row r="4" spans="1:9" ht="12.75" customHeight="1" x14ac:dyDescent="0.2">
      <c r="A4" s="80" t="s">
        <v>4</v>
      </c>
      <c r="B4" s="80"/>
      <c r="C4" s="67" t="str">
        <f>'Stavební rozpočet'!C4</f>
        <v>SO 102 - Komunikace - úsek 2, revize 01</v>
      </c>
      <c r="D4" s="81" t="s">
        <v>9</v>
      </c>
      <c r="E4" s="81" t="s">
        <v>61</v>
      </c>
      <c r="F4" s="67" t="s">
        <v>5</v>
      </c>
      <c r="G4" s="95" t="str">
        <f>'Stavební rozpočet'!J4</f>
        <v>MATULA projekt s.r.o., Jana Babáka 11, 61200 Brno</v>
      </c>
      <c r="H4" s="3"/>
    </row>
    <row r="5" spans="1:9" ht="27" customHeight="1" x14ac:dyDescent="0.2">
      <c r="A5" s="80"/>
      <c r="B5" s="80"/>
      <c r="C5" s="67"/>
      <c r="D5" s="67"/>
      <c r="E5" s="67"/>
      <c r="F5" s="67"/>
      <c r="G5" s="95"/>
      <c r="H5" s="3"/>
    </row>
    <row r="6" spans="1:9" ht="12.75" customHeight="1" x14ac:dyDescent="0.2">
      <c r="A6" s="80" t="s">
        <v>7</v>
      </c>
      <c r="B6" s="80"/>
      <c r="C6" s="67" t="str">
        <f>'Stavební rozpočet'!C6</f>
        <v>Brno - Ořešín</v>
      </c>
      <c r="D6" s="81" t="s">
        <v>10</v>
      </c>
      <c r="E6" s="81" t="s">
        <v>61</v>
      </c>
      <c r="F6" s="67" t="s">
        <v>8</v>
      </c>
      <c r="G6" s="95" t="str">
        <f>'Stavební rozpočet'!J6</f>
        <v> </v>
      </c>
      <c r="H6" s="3"/>
    </row>
    <row r="7" spans="1:9" x14ac:dyDescent="0.2">
      <c r="A7" s="80"/>
      <c r="B7" s="80"/>
      <c r="C7" s="67"/>
      <c r="D7" s="67"/>
      <c r="E7" s="67"/>
      <c r="F7" s="67"/>
      <c r="G7" s="95"/>
      <c r="H7" s="3"/>
    </row>
    <row r="8" spans="1:9" ht="12.75" customHeight="1" x14ac:dyDescent="0.2">
      <c r="A8" s="92" t="s">
        <v>14</v>
      </c>
      <c r="B8" s="92"/>
      <c r="C8" s="93" t="str">
        <f>'Stavební rozpočet'!J8</f>
        <v>Ing. Radka Matulová</v>
      </c>
      <c r="D8" s="78" t="s">
        <v>62</v>
      </c>
      <c r="E8" s="94" t="s">
        <v>63</v>
      </c>
      <c r="F8" s="94" t="s">
        <v>62</v>
      </c>
      <c r="G8" s="88" t="str">
        <f>'Stavební rozpočet'!G8</f>
        <v>12.10.2022</v>
      </c>
      <c r="H8" s="3"/>
    </row>
    <row r="9" spans="1:9" x14ac:dyDescent="0.2">
      <c r="A9" s="92"/>
      <c r="B9" s="92"/>
      <c r="C9" s="93"/>
      <c r="D9" s="78"/>
      <c r="E9" s="94"/>
      <c r="F9" s="94"/>
      <c r="G9" s="88"/>
      <c r="H9" s="3"/>
    </row>
    <row r="10" spans="1:9" x14ac:dyDescent="0.2">
      <c r="A10" s="89" t="s">
        <v>64</v>
      </c>
      <c r="B10" s="89"/>
      <c r="C10" s="24" t="s">
        <v>65</v>
      </c>
      <c r="D10" s="25"/>
      <c r="E10" s="26" t="s">
        <v>66</v>
      </c>
      <c r="F10" s="26" t="s">
        <v>67</v>
      </c>
      <c r="G10" s="26" t="s">
        <v>68</v>
      </c>
      <c r="H10" s="3"/>
    </row>
    <row r="11" spans="1:9" x14ac:dyDescent="0.2">
      <c r="A11" s="90" t="s">
        <v>69</v>
      </c>
      <c r="B11" s="90"/>
      <c r="C11" s="91" t="s">
        <v>70</v>
      </c>
      <c r="D11" s="91"/>
      <c r="E11" s="27">
        <f>'Stavební rozpočet'!J12</f>
        <v>0</v>
      </c>
      <c r="F11" s="27">
        <f>'Stavební rozpočet'!K12</f>
        <v>0</v>
      </c>
      <c r="G11" s="27">
        <f>'Stavební rozpočet'!L12</f>
        <v>0</v>
      </c>
      <c r="H11" s="28" t="s">
        <v>71</v>
      </c>
      <c r="I11" s="28">
        <f t="shared" ref="I11:I28" si="0">IF(G11="F",0,G11)</f>
        <v>0</v>
      </c>
    </row>
    <row r="12" spans="1:9" x14ac:dyDescent="0.2">
      <c r="A12" s="87" t="s">
        <v>72</v>
      </c>
      <c r="B12" s="87"/>
      <c r="C12" s="81" t="s">
        <v>73</v>
      </c>
      <c r="D12" s="81"/>
      <c r="E12" s="28">
        <f>'Stavební rozpočet'!J25</f>
        <v>0</v>
      </c>
      <c r="F12" s="28">
        <f>'Stavební rozpočet'!K25</f>
        <v>0</v>
      </c>
      <c r="G12" s="28">
        <f>'Stavební rozpočet'!L25</f>
        <v>0</v>
      </c>
      <c r="H12" s="28" t="s">
        <v>71</v>
      </c>
      <c r="I12" s="28">
        <f t="shared" si="0"/>
        <v>0</v>
      </c>
    </row>
    <row r="13" spans="1:9" x14ac:dyDescent="0.2">
      <c r="A13" s="87" t="s">
        <v>74</v>
      </c>
      <c r="B13" s="87"/>
      <c r="C13" s="81" t="s">
        <v>75</v>
      </c>
      <c r="D13" s="81"/>
      <c r="E13" s="28">
        <f>'Stavební rozpočet'!J32</f>
        <v>0</v>
      </c>
      <c r="F13" s="28">
        <f>'Stavební rozpočet'!K32</f>
        <v>0</v>
      </c>
      <c r="G13" s="28">
        <f>'Stavební rozpočet'!L32</f>
        <v>0</v>
      </c>
      <c r="H13" s="28" t="s">
        <v>71</v>
      </c>
      <c r="I13" s="28">
        <f t="shared" si="0"/>
        <v>0</v>
      </c>
    </row>
    <row r="14" spans="1:9" x14ac:dyDescent="0.2">
      <c r="A14" s="87" t="s">
        <v>76</v>
      </c>
      <c r="B14" s="87"/>
      <c r="C14" s="81" t="s">
        <v>77</v>
      </c>
      <c r="D14" s="81"/>
      <c r="E14" s="28">
        <f>'Stavební rozpočet'!J36</f>
        <v>0</v>
      </c>
      <c r="F14" s="28">
        <f>'Stavební rozpočet'!K36</f>
        <v>0</v>
      </c>
      <c r="G14" s="28">
        <f>'Stavební rozpočet'!L36</f>
        <v>0</v>
      </c>
      <c r="H14" s="28" t="s">
        <v>71</v>
      </c>
      <c r="I14" s="28">
        <f t="shared" si="0"/>
        <v>0</v>
      </c>
    </row>
    <row r="15" spans="1:9" ht="12.75" customHeight="1" x14ac:dyDescent="0.2">
      <c r="A15" s="87" t="s">
        <v>78</v>
      </c>
      <c r="B15" s="87"/>
      <c r="C15" s="81" t="s">
        <v>79</v>
      </c>
      <c r="D15" s="81"/>
      <c r="E15" s="28">
        <f>'Stavební rozpočet'!J39</f>
        <v>0</v>
      </c>
      <c r="F15" s="28">
        <f>'Stavební rozpočet'!K39</f>
        <v>0</v>
      </c>
      <c r="G15" s="28">
        <f>'Stavební rozpočet'!L39</f>
        <v>0</v>
      </c>
      <c r="H15" s="28" t="s">
        <v>71</v>
      </c>
      <c r="I15" s="28">
        <f t="shared" si="0"/>
        <v>0</v>
      </c>
    </row>
    <row r="16" spans="1:9" x14ac:dyDescent="0.2">
      <c r="A16" s="87" t="s">
        <v>80</v>
      </c>
      <c r="B16" s="87"/>
      <c r="C16" s="81" t="s">
        <v>81</v>
      </c>
      <c r="D16" s="81"/>
      <c r="E16" s="28">
        <f>'Stavební rozpočet'!J50</f>
        <v>0</v>
      </c>
      <c r="F16" s="28">
        <f>'Stavební rozpočet'!K50</f>
        <v>0</v>
      </c>
      <c r="G16" s="28">
        <f>'Stavební rozpočet'!L50</f>
        <v>0</v>
      </c>
      <c r="H16" s="28" t="s">
        <v>71</v>
      </c>
      <c r="I16" s="28">
        <f t="shared" si="0"/>
        <v>0</v>
      </c>
    </row>
    <row r="17" spans="1:9" x14ac:dyDescent="0.2">
      <c r="A17" s="87" t="s">
        <v>82</v>
      </c>
      <c r="B17" s="87"/>
      <c r="C17" s="81" t="s">
        <v>83</v>
      </c>
      <c r="D17" s="81"/>
      <c r="E17" s="28">
        <f>'Stavební rozpočet'!J57</f>
        <v>0</v>
      </c>
      <c r="F17" s="28">
        <f>'Stavební rozpočet'!K57</f>
        <v>0</v>
      </c>
      <c r="G17" s="28">
        <f>'Stavební rozpočet'!L57</f>
        <v>0</v>
      </c>
      <c r="H17" s="28" t="s">
        <v>71</v>
      </c>
      <c r="I17" s="28">
        <f t="shared" si="0"/>
        <v>0</v>
      </c>
    </row>
    <row r="18" spans="1:9" ht="12.75" customHeight="1" x14ac:dyDescent="0.2">
      <c r="A18" s="87" t="s">
        <v>84</v>
      </c>
      <c r="B18" s="87"/>
      <c r="C18" s="81" t="s">
        <v>85</v>
      </c>
      <c r="D18" s="81"/>
      <c r="E18" s="28">
        <f>'Stavební rozpočet'!J60</f>
        <v>0</v>
      </c>
      <c r="F18" s="28">
        <f>'Stavební rozpočet'!K60</f>
        <v>0</v>
      </c>
      <c r="G18" s="28">
        <f>'Stavební rozpočet'!L60</f>
        <v>0</v>
      </c>
      <c r="H18" s="28" t="s">
        <v>71</v>
      </c>
      <c r="I18" s="28">
        <f t="shared" si="0"/>
        <v>0</v>
      </c>
    </row>
    <row r="19" spans="1:9" x14ac:dyDescent="0.2">
      <c r="A19" s="87" t="s">
        <v>86</v>
      </c>
      <c r="B19" s="87"/>
      <c r="C19" s="81" t="s">
        <v>87</v>
      </c>
      <c r="D19" s="81"/>
      <c r="E19" s="28">
        <f>'Stavební rozpočet'!J67</f>
        <v>0</v>
      </c>
      <c r="F19" s="28">
        <f>'Stavební rozpočet'!K67</f>
        <v>0</v>
      </c>
      <c r="G19" s="28">
        <f>'Stavební rozpočet'!L67</f>
        <v>0</v>
      </c>
      <c r="H19" s="28" t="s">
        <v>71</v>
      </c>
      <c r="I19" s="28">
        <f t="shared" si="0"/>
        <v>0</v>
      </c>
    </row>
    <row r="20" spans="1:9" x14ac:dyDescent="0.2">
      <c r="A20" s="87" t="s">
        <v>88</v>
      </c>
      <c r="B20" s="87"/>
      <c r="C20" s="81" t="s">
        <v>89</v>
      </c>
      <c r="D20" s="81"/>
      <c r="E20" s="28">
        <f>'Stavební rozpočet'!J71</f>
        <v>0</v>
      </c>
      <c r="F20" s="28">
        <f>'Stavební rozpočet'!K71</f>
        <v>0</v>
      </c>
      <c r="G20" s="28">
        <f>'Stavební rozpočet'!L71</f>
        <v>0</v>
      </c>
      <c r="H20" s="28" t="s">
        <v>71</v>
      </c>
      <c r="I20" s="28">
        <f t="shared" si="0"/>
        <v>0</v>
      </c>
    </row>
    <row r="21" spans="1:9" ht="12.75" customHeight="1" x14ac:dyDescent="0.2">
      <c r="A21" s="87" t="s">
        <v>90</v>
      </c>
      <c r="B21" s="87"/>
      <c r="C21" s="81" t="s">
        <v>91</v>
      </c>
      <c r="D21" s="81"/>
      <c r="E21" s="28">
        <f>'Stavební rozpočet'!J77</f>
        <v>0</v>
      </c>
      <c r="F21" s="28">
        <f>'Stavební rozpočet'!K77</f>
        <v>0</v>
      </c>
      <c r="G21" s="28">
        <f>'Stavební rozpočet'!L77</f>
        <v>0</v>
      </c>
      <c r="H21" s="28" t="s">
        <v>71</v>
      </c>
      <c r="I21" s="28">
        <f t="shared" si="0"/>
        <v>0</v>
      </c>
    </row>
    <row r="22" spans="1:9" x14ac:dyDescent="0.2">
      <c r="A22" s="87" t="s">
        <v>92</v>
      </c>
      <c r="B22" s="87"/>
      <c r="C22" s="81" t="s">
        <v>93</v>
      </c>
      <c r="D22" s="81"/>
      <c r="E22" s="28">
        <f>'Stavební rozpočet'!J99</f>
        <v>0</v>
      </c>
      <c r="F22" s="28">
        <f>'Stavební rozpočet'!K99</f>
        <v>0</v>
      </c>
      <c r="G22" s="28">
        <f>'Stavební rozpočet'!L99</f>
        <v>0</v>
      </c>
      <c r="H22" s="28" t="s">
        <v>71</v>
      </c>
      <c r="I22" s="28">
        <f t="shared" si="0"/>
        <v>0</v>
      </c>
    </row>
    <row r="23" spans="1:9" x14ac:dyDescent="0.2">
      <c r="A23" s="87" t="s">
        <v>94</v>
      </c>
      <c r="B23" s="87"/>
      <c r="C23" s="81" t="s">
        <v>95</v>
      </c>
      <c r="D23" s="81"/>
      <c r="E23" s="28">
        <f>'Stavební rozpočet'!J108</f>
        <v>0</v>
      </c>
      <c r="F23" s="28">
        <f>'Stavební rozpočet'!K108</f>
        <v>0</v>
      </c>
      <c r="G23" s="28">
        <f>'Stavební rozpočet'!L108</f>
        <v>0</v>
      </c>
      <c r="H23" s="28" t="s">
        <v>71</v>
      </c>
      <c r="I23" s="28">
        <f t="shared" si="0"/>
        <v>0</v>
      </c>
    </row>
    <row r="24" spans="1:9" ht="12.75" customHeight="1" x14ac:dyDescent="0.2">
      <c r="A24" s="87" t="s">
        <v>96</v>
      </c>
      <c r="B24" s="87"/>
      <c r="C24" s="81" t="s">
        <v>97</v>
      </c>
      <c r="D24" s="81"/>
      <c r="E24" s="28">
        <f>'Stavební rozpočet'!J134</f>
        <v>0</v>
      </c>
      <c r="F24" s="28">
        <f>'Stavební rozpočet'!K134</f>
        <v>0</v>
      </c>
      <c r="G24" s="28">
        <f>'Stavební rozpočet'!L134</f>
        <v>0</v>
      </c>
      <c r="H24" s="28" t="s">
        <v>71</v>
      </c>
      <c r="I24" s="28">
        <f t="shared" si="0"/>
        <v>0</v>
      </c>
    </row>
    <row r="25" spans="1:9" x14ac:dyDescent="0.2">
      <c r="A25" s="87" t="s">
        <v>98</v>
      </c>
      <c r="B25" s="87"/>
      <c r="C25" s="81" t="s">
        <v>99</v>
      </c>
      <c r="D25" s="81"/>
      <c r="E25" s="28">
        <f>'Stavební rozpočet'!J138</f>
        <v>0</v>
      </c>
      <c r="F25" s="28">
        <f>'Stavební rozpočet'!K138</f>
        <v>0</v>
      </c>
      <c r="G25" s="28">
        <f>'Stavební rozpočet'!L138</f>
        <v>0</v>
      </c>
      <c r="H25" s="28" t="s">
        <v>71</v>
      </c>
      <c r="I25" s="28">
        <f t="shared" si="0"/>
        <v>0</v>
      </c>
    </row>
    <row r="26" spans="1:9" x14ac:dyDescent="0.2">
      <c r="A26" s="87" t="s">
        <v>100</v>
      </c>
      <c r="B26" s="87"/>
      <c r="C26" s="81" t="s">
        <v>101</v>
      </c>
      <c r="D26" s="81"/>
      <c r="E26" s="28">
        <f>'Stavební rozpočet'!J141</f>
        <v>0</v>
      </c>
      <c r="F26" s="28">
        <f>'Stavební rozpočet'!K141</f>
        <v>0</v>
      </c>
      <c r="G26" s="28">
        <f>'Stavební rozpočet'!L141</f>
        <v>0</v>
      </c>
      <c r="H26" s="28" t="s">
        <v>71</v>
      </c>
      <c r="I26" s="28">
        <f t="shared" si="0"/>
        <v>0</v>
      </c>
    </row>
    <row r="27" spans="1:9" ht="12.75" customHeight="1" x14ac:dyDescent="0.2">
      <c r="A27" s="87" t="s">
        <v>102</v>
      </c>
      <c r="B27" s="87"/>
      <c r="C27" s="81" t="s">
        <v>103</v>
      </c>
      <c r="D27" s="81"/>
      <c r="E27" s="28">
        <f>'Stavební rozpočet'!J162</f>
        <v>0</v>
      </c>
      <c r="F27" s="28">
        <f>'Stavební rozpočet'!K162</f>
        <v>0</v>
      </c>
      <c r="G27" s="28">
        <f>'Stavební rozpočet'!L162</f>
        <v>0</v>
      </c>
      <c r="H27" s="28" t="s">
        <v>71</v>
      </c>
      <c r="I27" s="28">
        <f t="shared" si="0"/>
        <v>0</v>
      </c>
    </row>
    <row r="28" spans="1:9" x14ac:dyDescent="0.2">
      <c r="A28" s="87" t="s">
        <v>104</v>
      </c>
      <c r="B28" s="87"/>
      <c r="C28" s="81" t="s">
        <v>105</v>
      </c>
      <c r="D28" s="81"/>
      <c r="E28" s="28">
        <f>'Stavební rozpočet'!J170</f>
        <v>0</v>
      </c>
      <c r="F28" s="28">
        <f>'Stavební rozpočet'!K170</f>
        <v>0</v>
      </c>
      <c r="G28" s="28">
        <f>'Stavební rozpočet'!L170</f>
        <v>0</v>
      </c>
      <c r="H28" s="28" t="s">
        <v>71</v>
      </c>
      <c r="I28" s="28">
        <f t="shared" si="0"/>
        <v>0</v>
      </c>
    </row>
    <row r="29" spans="1:9" x14ac:dyDescent="0.2">
      <c r="F29" s="30" t="s">
        <v>106</v>
      </c>
      <c r="G29" s="31">
        <f>SUM(H11:H28)</f>
        <v>0</v>
      </c>
    </row>
  </sheetData>
  <mergeCells count="62">
    <mergeCell ref="A1:G1"/>
    <mergeCell ref="A2:B3"/>
    <mergeCell ref="C2:C3"/>
    <mergeCell ref="D2:D3"/>
    <mergeCell ref="E2:E3"/>
    <mergeCell ref="F2:F3"/>
    <mergeCell ref="G2:G3"/>
    <mergeCell ref="G4:G5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8:G9"/>
    <mergeCell ref="A10:B10"/>
    <mergeCell ref="A11:B11"/>
    <mergeCell ref="C11:D11"/>
    <mergeCell ref="A12:B12"/>
    <mergeCell ref="C12:D12"/>
    <mergeCell ref="A8:B9"/>
    <mergeCell ref="C8:C9"/>
    <mergeCell ref="D8:D9"/>
    <mergeCell ref="E8:E9"/>
    <mergeCell ref="F8:F9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8:B28"/>
    <mergeCell ref="C28:D28"/>
    <mergeCell ref="A25:B25"/>
    <mergeCell ref="C25:D25"/>
    <mergeCell ref="A26:B26"/>
    <mergeCell ref="C26:D26"/>
    <mergeCell ref="A27:B27"/>
    <mergeCell ref="C27:D27"/>
  </mergeCells>
  <printOptions gridLines="1"/>
  <pageMargins left="0.39370078740157477" right="0.39370078740157477" top="0.59055118110236238" bottom="0.59055118110236238" header="0.51180599999999998" footer="0.51180599999999998"/>
  <pageSetup paperSize="9" firstPageNumber="0" fitToWidth="0" fitToHeight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185"/>
  <sheetViews>
    <sheetView tabSelected="1" workbookViewId="0">
      <pane ySplit="11" topLeftCell="A183" activePane="bottomLeft" state="frozen"/>
      <selection activeCell="D188" sqref="D188"/>
      <selection pane="bottomLeft" sqref="A1:M1"/>
    </sheetView>
  </sheetViews>
  <sheetFormatPr defaultColWidth="11.42578125" defaultRowHeight="12.75" customHeight="1" x14ac:dyDescent="0.2"/>
  <cols>
    <col min="1" max="1" width="3.7109375" customWidth="1"/>
    <col min="2" max="2" width="14.28515625" customWidth="1"/>
    <col min="3" max="3" width="20.140625" customWidth="1"/>
    <col min="4" max="4" width="78.42578125" customWidth="1"/>
    <col min="5" max="6" width="11.5703125" customWidth="1"/>
    <col min="7" max="7" width="4.28515625" customWidth="1"/>
    <col min="8" max="8" width="12.85546875" customWidth="1"/>
    <col min="9" max="9" width="12" customWidth="1"/>
    <col min="10" max="12" width="14.28515625" customWidth="1"/>
    <col min="13" max="13" width="11.7109375" customWidth="1"/>
    <col min="14" max="24" width="11.5703125" customWidth="1"/>
    <col min="25" max="64" width="0" hidden="1"/>
    <col min="65" max="257" width="11.5703125" customWidth="1"/>
  </cols>
  <sheetData>
    <row r="1" spans="1:64" ht="72.95" customHeight="1" x14ac:dyDescent="0.35">
      <c r="A1" s="96" t="s">
        <v>107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64" ht="12.75" customHeight="1" x14ac:dyDescent="0.2">
      <c r="A2" s="83" t="s">
        <v>1</v>
      </c>
      <c r="B2" s="83"/>
      <c r="C2" s="84" t="s">
        <v>108</v>
      </c>
      <c r="D2" s="84"/>
      <c r="E2" s="97" t="s">
        <v>60</v>
      </c>
      <c r="F2" s="97"/>
      <c r="G2" s="97" t="s">
        <v>61</v>
      </c>
      <c r="H2" s="97"/>
      <c r="I2" s="85" t="s">
        <v>2</v>
      </c>
      <c r="J2" s="98" t="s">
        <v>109</v>
      </c>
      <c r="K2" s="98"/>
      <c r="L2" s="98"/>
      <c r="M2" s="98"/>
      <c r="N2" s="3"/>
    </row>
    <row r="3" spans="1:64" x14ac:dyDescent="0.2">
      <c r="A3" s="83"/>
      <c r="B3" s="83"/>
      <c r="C3" s="84"/>
      <c r="D3" s="84"/>
      <c r="E3" s="97"/>
      <c r="F3" s="97"/>
      <c r="G3" s="97"/>
      <c r="H3" s="97"/>
      <c r="I3" s="85"/>
      <c r="J3" s="85"/>
      <c r="K3" s="98"/>
      <c r="L3" s="98"/>
      <c r="M3" s="98"/>
      <c r="N3" s="3"/>
    </row>
    <row r="4" spans="1:64" ht="12.75" customHeight="1" x14ac:dyDescent="0.2">
      <c r="A4" s="80" t="s">
        <v>4</v>
      </c>
      <c r="B4" s="80"/>
      <c r="C4" s="67" t="s">
        <v>110</v>
      </c>
      <c r="D4" s="67"/>
      <c r="E4" s="81" t="s">
        <v>9</v>
      </c>
      <c r="F4" s="81"/>
      <c r="G4" s="81" t="s">
        <v>61</v>
      </c>
      <c r="H4" s="81"/>
      <c r="I4" s="67" t="s">
        <v>5</v>
      </c>
      <c r="J4" s="95" t="s">
        <v>111</v>
      </c>
      <c r="K4" s="95"/>
      <c r="L4" s="95"/>
      <c r="M4" s="95"/>
      <c r="N4" s="3"/>
    </row>
    <row r="5" spans="1:64" x14ac:dyDescent="0.2">
      <c r="A5" s="80"/>
      <c r="B5" s="80"/>
      <c r="C5" s="67"/>
      <c r="D5" s="67"/>
      <c r="E5" s="81"/>
      <c r="F5" s="81"/>
      <c r="G5" s="81"/>
      <c r="H5" s="81"/>
      <c r="I5" s="67"/>
      <c r="J5" s="67"/>
      <c r="K5" s="95"/>
      <c r="L5" s="95"/>
      <c r="M5" s="95"/>
      <c r="N5" s="3"/>
    </row>
    <row r="6" spans="1:64" ht="12.75" customHeight="1" x14ac:dyDescent="0.2">
      <c r="A6" s="80" t="s">
        <v>7</v>
      </c>
      <c r="B6" s="80"/>
      <c r="C6" s="67" t="s">
        <v>112</v>
      </c>
      <c r="D6" s="67"/>
      <c r="E6" s="81" t="s">
        <v>10</v>
      </c>
      <c r="F6" s="81"/>
      <c r="G6" s="81" t="s">
        <v>61</v>
      </c>
      <c r="H6" s="81"/>
      <c r="I6" s="67" t="s">
        <v>8</v>
      </c>
      <c r="J6" s="75" t="s">
        <v>113</v>
      </c>
      <c r="K6" s="75"/>
      <c r="L6" s="75"/>
      <c r="M6" s="75"/>
      <c r="N6" s="3"/>
    </row>
    <row r="7" spans="1:64" x14ac:dyDescent="0.2">
      <c r="A7" s="80"/>
      <c r="B7" s="80"/>
      <c r="C7" s="67"/>
      <c r="D7" s="67"/>
      <c r="E7" s="81"/>
      <c r="F7" s="81"/>
      <c r="G7" s="81"/>
      <c r="H7" s="81"/>
      <c r="I7" s="67"/>
      <c r="J7" s="67"/>
      <c r="K7" s="75"/>
      <c r="L7" s="75"/>
      <c r="M7" s="75"/>
      <c r="N7" s="3"/>
    </row>
    <row r="8" spans="1:64" ht="12.75" customHeight="1" x14ac:dyDescent="0.2">
      <c r="A8" s="92" t="s">
        <v>13</v>
      </c>
      <c r="B8" s="92"/>
      <c r="C8" s="93" t="s">
        <v>61</v>
      </c>
      <c r="D8" s="93"/>
      <c r="E8" s="94" t="s">
        <v>62</v>
      </c>
      <c r="F8" s="94"/>
      <c r="G8" s="94" t="s">
        <v>63</v>
      </c>
      <c r="H8" s="94"/>
      <c r="I8" s="93" t="s">
        <v>14</v>
      </c>
      <c r="J8" s="88" t="s">
        <v>114</v>
      </c>
      <c r="K8" s="88"/>
      <c r="L8" s="88"/>
      <c r="M8" s="88"/>
      <c r="N8" s="3"/>
    </row>
    <row r="9" spans="1:64" x14ac:dyDescent="0.2">
      <c r="A9" s="92"/>
      <c r="B9" s="92"/>
      <c r="C9" s="93"/>
      <c r="D9" s="93"/>
      <c r="E9" s="94"/>
      <c r="F9" s="94"/>
      <c r="G9" s="94"/>
      <c r="H9" s="94"/>
      <c r="I9" s="93"/>
      <c r="J9" s="93"/>
      <c r="K9" s="88"/>
      <c r="L9" s="88"/>
      <c r="M9" s="88"/>
      <c r="N9" s="3"/>
    </row>
    <row r="10" spans="1:64" x14ac:dyDescent="0.2">
      <c r="A10" s="32" t="s">
        <v>115</v>
      </c>
      <c r="B10" s="33" t="s">
        <v>64</v>
      </c>
      <c r="C10" s="103" t="s">
        <v>116</v>
      </c>
      <c r="D10" s="103"/>
      <c r="E10" s="103"/>
      <c r="F10" s="103"/>
      <c r="G10" s="33" t="s">
        <v>117</v>
      </c>
      <c r="H10" s="34" t="s">
        <v>118</v>
      </c>
      <c r="I10" s="35" t="s">
        <v>119</v>
      </c>
      <c r="J10" s="104" t="s">
        <v>120</v>
      </c>
      <c r="K10" s="104"/>
      <c r="L10" s="104"/>
      <c r="M10" s="36" t="s">
        <v>121</v>
      </c>
      <c r="N10" s="21"/>
      <c r="BK10" s="37" t="s">
        <v>122</v>
      </c>
      <c r="BL10" s="38" t="s">
        <v>123</v>
      </c>
    </row>
    <row r="11" spans="1:64" x14ac:dyDescent="0.2">
      <c r="A11" s="39" t="s">
        <v>61</v>
      </c>
      <c r="B11" s="40" t="s">
        <v>61</v>
      </c>
      <c r="C11" s="105" t="s">
        <v>124</v>
      </c>
      <c r="D11" s="105"/>
      <c r="E11" s="105"/>
      <c r="F11" s="105"/>
      <c r="G11" s="40" t="s">
        <v>61</v>
      </c>
      <c r="H11" s="40" t="s">
        <v>61</v>
      </c>
      <c r="I11" s="41" t="s">
        <v>125</v>
      </c>
      <c r="J11" s="42" t="s">
        <v>126</v>
      </c>
      <c r="K11" s="43" t="s">
        <v>28</v>
      </c>
      <c r="L11" s="44" t="s">
        <v>127</v>
      </c>
      <c r="M11" s="45" t="s">
        <v>128</v>
      </c>
      <c r="N11" s="21"/>
      <c r="Z11" s="37" t="s">
        <v>129</v>
      </c>
      <c r="AA11" s="37" t="s">
        <v>130</v>
      </c>
      <c r="AB11" s="37" t="s">
        <v>131</v>
      </c>
      <c r="AC11" s="37" t="s">
        <v>132</v>
      </c>
      <c r="AD11" s="37" t="s">
        <v>133</v>
      </c>
      <c r="AE11" s="37" t="s">
        <v>134</v>
      </c>
      <c r="AF11" s="37" t="s">
        <v>135</v>
      </c>
      <c r="AG11" s="37" t="s">
        <v>136</v>
      </c>
      <c r="AH11" s="37" t="s">
        <v>137</v>
      </c>
      <c r="BH11" s="37" t="s">
        <v>138</v>
      </c>
      <c r="BI11" s="37" t="s">
        <v>139</v>
      </c>
      <c r="BJ11" s="37" t="s">
        <v>140</v>
      </c>
    </row>
    <row r="12" spans="1:64" x14ac:dyDescent="0.2">
      <c r="A12" s="46"/>
      <c r="B12" s="47" t="s">
        <v>69</v>
      </c>
      <c r="C12" s="106" t="s">
        <v>70</v>
      </c>
      <c r="D12" s="106"/>
      <c r="E12" s="106"/>
      <c r="F12" s="106"/>
      <c r="G12" s="48" t="s">
        <v>61</v>
      </c>
      <c r="H12" s="48" t="s">
        <v>61</v>
      </c>
      <c r="I12" s="48" t="s">
        <v>61</v>
      </c>
      <c r="J12" s="49">
        <f>SUM(J13:J22)</f>
        <v>0</v>
      </c>
      <c r="K12" s="49">
        <f>SUM(K13:K22)</f>
        <v>0</v>
      </c>
      <c r="L12" s="49">
        <f>SUM(L13:L22)</f>
        <v>0</v>
      </c>
      <c r="M12" s="50"/>
      <c r="N12" s="3"/>
      <c r="AI12" s="37"/>
      <c r="AS12" s="51">
        <f>SUM(AJ13:AJ22)</f>
        <v>0</v>
      </c>
      <c r="AT12" s="51">
        <f>SUM(AK13:AK22)</f>
        <v>0</v>
      </c>
      <c r="AU12" s="51">
        <f>SUM(AL13:AL22)</f>
        <v>0</v>
      </c>
    </row>
    <row r="13" spans="1:64" x14ac:dyDescent="0.2">
      <c r="A13" s="29" t="s">
        <v>141</v>
      </c>
      <c r="B13" s="4" t="s">
        <v>142</v>
      </c>
      <c r="C13" s="81" t="s">
        <v>143</v>
      </c>
      <c r="D13" s="81"/>
      <c r="E13" s="81"/>
      <c r="F13" s="81"/>
      <c r="G13" s="4" t="s">
        <v>144</v>
      </c>
      <c r="H13" s="28">
        <v>895</v>
      </c>
      <c r="I13" s="28">
        <v>0</v>
      </c>
      <c r="J13" s="28">
        <f>H13*AO13</f>
        <v>0</v>
      </c>
      <c r="K13" s="28">
        <f>H13*AP13</f>
        <v>0</v>
      </c>
      <c r="L13" s="28">
        <f>H13*I13</f>
        <v>0</v>
      </c>
      <c r="M13" s="52" t="s">
        <v>145</v>
      </c>
      <c r="N13" s="3"/>
      <c r="Z13" s="28">
        <f>IF(AQ13="5",BJ13,0)</f>
        <v>0</v>
      </c>
      <c r="AB13" s="28">
        <f>IF(AQ13="1",BH13,0)</f>
        <v>0</v>
      </c>
      <c r="AC13" s="28">
        <f>IF(AQ13="1",BI13,0)</f>
        <v>0</v>
      </c>
      <c r="AD13" s="28">
        <f>IF(AQ13="7",BH13,0)</f>
        <v>0</v>
      </c>
      <c r="AE13" s="28">
        <f>IF(AQ13="7",BI13,0)</f>
        <v>0</v>
      </c>
      <c r="AF13" s="28">
        <f>IF(AQ13="2",BH13,0)</f>
        <v>0</v>
      </c>
      <c r="AG13" s="28">
        <f>IF(AQ13="2",BI13,0)</f>
        <v>0</v>
      </c>
      <c r="AH13" s="28">
        <f>IF(AQ13="0",BJ13,0)</f>
        <v>0</v>
      </c>
      <c r="AI13" s="37"/>
      <c r="AJ13" s="28">
        <f>IF(AN13=0,L13,0)</f>
        <v>0</v>
      </c>
      <c r="AK13" s="28">
        <f>IF(AN13=15,L13,0)</f>
        <v>0</v>
      </c>
      <c r="AL13" s="28">
        <f>IF(AN13=21,L13,0)</f>
        <v>0</v>
      </c>
      <c r="AN13" s="28">
        <v>21</v>
      </c>
      <c r="AO13" s="28">
        <f>I13*0</f>
        <v>0</v>
      </c>
      <c r="AP13" s="28">
        <f>I13*(1-0)</f>
        <v>0</v>
      </c>
      <c r="AQ13" s="53" t="s">
        <v>141</v>
      </c>
      <c r="AV13" s="28">
        <f>AW13+AX13</f>
        <v>0</v>
      </c>
      <c r="AW13" s="28">
        <f>H13*AO13</f>
        <v>0</v>
      </c>
      <c r="AX13" s="28">
        <f>H13*AP13</f>
        <v>0</v>
      </c>
      <c r="AY13" s="53" t="s">
        <v>146</v>
      </c>
      <c r="AZ13" s="53" t="s">
        <v>147</v>
      </c>
      <c r="BA13" s="37" t="s">
        <v>148</v>
      </c>
      <c r="BC13" s="28">
        <f>AW13+AX13</f>
        <v>0</v>
      </c>
      <c r="BD13" s="28">
        <f>I13/(100-BE13)*100</f>
        <v>0</v>
      </c>
      <c r="BE13" s="28">
        <v>0</v>
      </c>
      <c r="BF13" s="28">
        <f>13</f>
        <v>13</v>
      </c>
      <c r="BH13" s="28">
        <f>H13*AO13</f>
        <v>0</v>
      </c>
      <c r="BI13" s="28">
        <f>H13*AP13</f>
        <v>0</v>
      </c>
      <c r="BJ13" s="28">
        <f>H13*I13</f>
        <v>0</v>
      </c>
      <c r="BK13" s="28" t="s">
        <v>149</v>
      </c>
      <c r="BL13" s="28">
        <v>11</v>
      </c>
    </row>
    <row r="14" spans="1:64" x14ac:dyDescent="0.2">
      <c r="A14" s="3"/>
      <c r="C14" s="54" t="s">
        <v>150</v>
      </c>
      <c r="F14" s="54"/>
      <c r="H14" s="55">
        <v>895</v>
      </c>
      <c r="M14" s="17"/>
      <c r="N14" s="3"/>
    </row>
    <row r="15" spans="1:64" ht="25.7" customHeight="1" x14ac:dyDescent="0.2">
      <c r="A15" s="3"/>
      <c r="B15" s="56" t="s">
        <v>151</v>
      </c>
      <c r="C15" s="99" t="s">
        <v>152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3"/>
    </row>
    <row r="16" spans="1:64" x14ac:dyDescent="0.2">
      <c r="A16" s="29" t="s">
        <v>153</v>
      </c>
      <c r="B16" s="4" t="s">
        <v>154</v>
      </c>
      <c r="C16" s="81" t="s">
        <v>155</v>
      </c>
      <c r="D16" s="81"/>
      <c r="E16" s="81"/>
      <c r="F16" s="81"/>
      <c r="G16" s="4" t="s">
        <v>144</v>
      </c>
      <c r="H16" s="28">
        <v>385</v>
      </c>
      <c r="I16" s="28">
        <v>0</v>
      </c>
      <c r="J16" s="28">
        <f>H16*AO16</f>
        <v>0</v>
      </c>
      <c r="K16" s="28">
        <f>H16*AP16</f>
        <v>0</v>
      </c>
      <c r="L16" s="28">
        <f>H16*I16</f>
        <v>0</v>
      </c>
      <c r="M16" s="52" t="s">
        <v>145</v>
      </c>
      <c r="N16" s="3"/>
      <c r="Z16" s="28">
        <f>IF(AQ16="5",BJ16,0)</f>
        <v>0</v>
      </c>
      <c r="AB16" s="28">
        <f>IF(AQ16="1",BH16,0)</f>
        <v>0</v>
      </c>
      <c r="AC16" s="28">
        <f>IF(AQ16="1",BI16,0)</f>
        <v>0</v>
      </c>
      <c r="AD16" s="28">
        <f>IF(AQ16="7",BH16,0)</f>
        <v>0</v>
      </c>
      <c r="AE16" s="28">
        <f>IF(AQ16="7",BI16,0)</f>
        <v>0</v>
      </c>
      <c r="AF16" s="28">
        <f>IF(AQ16="2",BH16,0)</f>
        <v>0</v>
      </c>
      <c r="AG16" s="28">
        <f>IF(AQ16="2",BI16,0)</f>
        <v>0</v>
      </c>
      <c r="AH16" s="28">
        <f>IF(AQ16="0",BJ16,0)</f>
        <v>0</v>
      </c>
      <c r="AI16" s="37"/>
      <c r="AJ16" s="28">
        <f>IF(AN16=0,L16,0)</f>
        <v>0</v>
      </c>
      <c r="AK16" s="28">
        <f>IF(AN16=15,L16,0)</f>
        <v>0</v>
      </c>
      <c r="AL16" s="28">
        <f>IF(AN16=21,L16,0)</f>
        <v>0</v>
      </c>
      <c r="AN16" s="28">
        <v>21</v>
      </c>
      <c r="AO16" s="28">
        <f>I16*0</f>
        <v>0</v>
      </c>
      <c r="AP16" s="28">
        <f>I16*(1-0)</f>
        <v>0</v>
      </c>
      <c r="AQ16" s="53" t="s">
        <v>141</v>
      </c>
      <c r="AV16" s="28">
        <f>AW16+AX16</f>
        <v>0</v>
      </c>
      <c r="AW16" s="28">
        <f>H16*AO16</f>
        <v>0</v>
      </c>
      <c r="AX16" s="28">
        <f>H16*AP16</f>
        <v>0</v>
      </c>
      <c r="AY16" s="53" t="s">
        <v>146</v>
      </c>
      <c r="AZ16" s="53" t="s">
        <v>147</v>
      </c>
      <c r="BA16" s="37" t="s">
        <v>148</v>
      </c>
      <c r="BC16" s="28">
        <f>AW16+AX16</f>
        <v>0</v>
      </c>
      <c r="BD16" s="28">
        <f>I16/(100-BE16)*100</f>
        <v>0</v>
      </c>
      <c r="BE16" s="28">
        <v>0</v>
      </c>
      <c r="BF16" s="28">
        <f>16</f>
        <v>16</v>
      </c>
      <c r="BH16" s="28">
        <f>H16*AO16</f>
        <v>0</v>
      </c>
      <c r="BI16" s="28">
        <f>H16*AP16</f>
        <v>0</v>
      </c>
      <c r="BJ16" s="28">
        <f>H16*I16</f>
        <v>0</v>
      </c>
      <c r="BK16" s="28" t="s">
        <v>149</v>
      </c>
      <c r="BL16" s="28">
        <v>11</v>
      </c>
    </row>
    <row r="17" spans="1:64" x14ac:dyDescent="0.2">
      <c r="A17" s="3"/>
      <c r="C17" s="54" t="s">
        <v>156</v>
      </c>
      <c r="F17" s="54"/>
      <c r="H17" s="55">
        <v>385</v>
      </c>
      <c r="M17" s="17"/>
      <c r="N17" s="3"/>
    </row>
    <row r="18" spans="1:64" ht="25.7" customHeight="1" x14ac:dyDescent="0.2">
      <c r="A18" s="3"/>
      <c r="B18" s="56" t="s">
        <v>151</v>
      </c>
      <c r="C18" s="99" t="s">
        <v>152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3"/>
    </row>
    <row r="19" spans="1:64" x14ac:dyDescent="0.2">
      <c r="A19" s="29" t="s">
        <v>157</v>
      </c>
      <c r="B19" s="4" t="s">
        <v>158</v>
      </c>
      <c r="C19" s="81" t="s">
        <v>159</v>
      </c>
      <c r="D19" s="81"/>
      <c r="E19" s="81"/>
      <c r="F19" s="81"/>
      <c r="G19" s="4" t="s">
        <v>144</v>
      </c>
      <c r="H19" s="28">
        <v>895</v>
      </c>
      <c r="I19" s="28">
        <v>0</v>
      </c>
      <c r="J19" s="28">
        <f>H19*AO19</f>
        <v>0</v>
      </c>
      <c r="K19" s="28">
        <f>H19*AP19</f>
        <v>0</v>
      </c>
      <c r="L19" s="28">
        <f>H19*I19</f>
        <v>0</v>
      </c>
      <c r="M19" s="52" t="s">
        <v>145</v>
      </c>
      <c r="N19" s="3"/>
      <c r="Z19" s="28">
        <f>IF(AQ19="5",BJ19,0)</f>
        <v>0</v>
      </c>
      <c r="AB19" s="28">
        <f>IF(AQ19="1",BH19,0)</f>
        <v>0</v>
      </c>
      <c r="AC19" s="28">
        <f>IF(AQ19="1",BI19,0)</f>
        <v>0</v>
      </c>
      <c r="AD19" s="28">
        <f>IF(AQ19="7",BH19,0)</f>
        <v>0</v>
      </c>
      <c r="AE19" s="28">
        <f>IF(AQ19="7",BI19,0)</f>
        <v>0</v>
      </c>
      <c r="AF19" s="28">
        <f>IF(AQ19="2",BH19,0)</f>
        <v>0</v>
      </c>
      <c r="AG19" s="28">
        <f>IF(AQ19="2",BI19,0)</f>
        <v>0</v>
      </c>
      <c r="AH19" s="28">
        <f>IF(AQ19="0",BJ19,0)</f>
        <v>0</v>
      </c>
      <c r="AI19" s="37"/>
      <c r="AJ19" s="28">
        <f>IF(AN19=0,L19,0)</f>
        <v>0</v>
      </c>
      <c r="AK19" s="28">
        <f>IF(AN19=15,L19,0)</f>
        <v>0</v>
      </c>
      <c r="AL19" s="28">
        <f>IF(AN19=21,L19,0)</f>
        <v>0</v>
      </c>
      <c r="AN19" s="28">
        <v>21</v>
      </c>
      <c r="AO19" s="28">
        <f>I19*0</f>
        <v>0</v>
      </c>
      <c r="AP19" s="28">
        <f>I19*(1-0)</f>
        <v>0</v>
      </c>
      <c r="AQ19" s="53" t="s">
        <v>141</v>
      </c>
      <c r="AV19" s="28">
        <f>AW19+AX19</f>
        <v>0</v>
      </c>
      <c r="AW19" s="28">
        <f>H19*AO19</f>
        <v>0</v>
      </c>
      <c r="AX19" s="28">
        <f>H19*AP19</f>
        <v>0</v>
      </c>
      <c r="AY19" s="53" t="s">
        <v>146</v>
      </c>
      <c r="AZ19" s="53" t="s">
        <v>147</v>
      </c>
      <c r="BA19" s="37" t="s">
        <v>148</v>
      </c>
      <c r="BC19" s="28">
        <f>AW19+AX19</f>
        <v>0</v>
      </c>
      <c r="BD19" s="28">
        <f>I19/(100-BE19)*100</f>
        <v>0</v>
      </c>
      <c r="BE19" s="28">
        <v>0</v>
      </c>
      <c r="BF19" s="28">
        <f>19</f>
        <v>19</v>
      </c>
      <c r="BH19" s="28">
        <f>H19*AO19</f>
        <v>0</v>
      </c>
      <c r="BI19" s="28">
        <f>H19*AP19</f>
        <v>0</v>
      </c>
      <c r="BJ19" s="28">
        <f>H19*I19</f>
        <v>0</v>
      </c>
      <c r="BK19" s="28" t="s">
        <v>149</v>
      </c>
      <c r="BL19" s="28">
        <v>11</v>
      </c>
    </row>
    <row r="20" spans="1:64" x14ac:dyDescent="0.2">
      <c r="A20" s="3"/>
      <c r="C20" s="54" t="s">
        <v>150</v>
      </c>
      <c r="F20" s="54"/>
      <c r="H20" s="55">
        <v>895</v>
      </c>
      <c r="M20" s="17"/>
      <c r="N20" s="3"/>
    </row>
    <row r="21" spans="1:64" ht="25.7" customHeight="1" x14ac:dyDescent="0.2">
      <c r="A21" s="3"/>
      <c r="B21" s="56" t="s">
        <v>151</v>
      </c>
      <c r="C21" s="99" t="s">
        <v>160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3"/>
    </row>
    <row r="22" spans="1:64" x14ac:dyDescent="0.2">
      <c r="A22" s="29" t="s">
        <v>161</v>
      </c>
      <c r="B22" s="4" t="s">
        <v>162</v>
      </c>
      <c r="C22" s="81" t="s">
        <v>163</v>
      </c>
      <c r="D22" s="81"/>
      <c r="E22" s="81"/>
      <c r="F22" s="81"/>
      <c r="G22" s="4" t="s">
        <v>164</v>
      </c>
      <c r="H22" s="28">
        <v>31</v>
      </c>
      <c r="I22" s="28">
        <v>0</v>
      </c>
      <c r="J22" s="28">
        <f>H22*AO22</f>
        <v>0</v>
      </c>
      <c r="K22" s="28">
        <f>H22*AP22</f>
        <v>0</v>
      </c>
      <c r="L22" s="28">
        <f>H22*I22</f>
        <v>0</v>
      </c>
      <c r="M22" s="52"/>
      <c r="N22" s="3"/>
      <c r="Z22" s="28">
        <f>IF(AQ22="5",BJ22,0)</f>
        <v>0</v>
      </c>
      <c r="AB22" s="28">
        <f>IF(AQ22="1",BH22,0)</f>
        <v>0</v>
      </c>
      <c r="AC22" s="28">
        <f>IF(AQ22="1",BI22,0)</f>
        <v>0</v>
      </c>
      <c r="AD22" s="28">
        <f>IF(AQ22="7",BH22,0)</f>
        <v>0</v>
      </c>
      <c r="AE22" s="28">
        <f>IF(AQ22="7",BI22,0)</f>
        <v>0</v>
      </c>
      <c r="AF22" s="28">
        <f>IF(AQ22="2",BH22,0)</f>
        <v>0</v>
      </c>
      <c r="AG22" s="28">
        <f>IF(AQ22="2",BI22,0)</f>
        <v>0</v>
      </c>
      <c r="AH22" s="28">
        <f>IF(AQ22="0",BJ22,0)</f>
        <v>0</v>
      </c>
      <c r="AI22" s="37"/>
      <c r="AJ22" s="28">
        <f>IF(AN22=0,L22,0)</f>
        <v>0</v>
      </c>
      <c r="AK22" s="28">
        <f>IF(AN22=15,L22,0)</f>
        <v>0</v>
      </c>
      <c r="AL22" s="28">
        <f>IF(AN22=21,L22,0)</f>
        <v>0</v>
      </c>
      <c r="AN22" s="28">
        <v>21</v>
      </c>
      <c r="AO22" s="28">
        <f>I22*0</f>
        <v>0</v>
      </c>
      <c r="AP22" s="28">
        <f>I22*(1-0)</f>
        <v>0</v>
      </c>
      <c r="AQ22" s="53" t="s">
        <v>141</v>
      </c>
      <c r="AV22" s="28">
        <f>AW22+AX22</f>
        <v>0</v>
      </c>
      <c r="AW22" s="28">
        <f>H22*AO22</f>
        <v>0</v>
      </c>
      <c r="AX22" s="28">
        <f>H22*AP22</f>
        <v>0</v>
      </c>
      <c r="AY22" s="53" t="s">
        <v>146</v>
      </c>
      <c r="AZ22" s="53" t="s">
        <v>147</v>
      </c>
      <c r="BA22" s="37" t="s">
        <v>148</v>
      </c>
      <c r="BC22" s="28">
        <f>AW22+AX22</f>
        <v>0</v>
      </c>
      <c r="BD22" s="28">
        <f>I22/(100-BE22)*100</f>
        <v>0</v>
      </c>
      <c r="BE22" s="28">
        <v>0</v>
      </c>
      <c r="BF22" s="28">
        <f>22</f>
        <v>22</v>
      </c>
      <c r="BH22" s="28">
        <f>H22*AO22</f>
        <v>0</v>
      </c>
      <c r="BI22" s="28">
        <f>H22*AP22</f>
        <v>0</v>
      </c>
      <c r="BJ22" s="28">
        <f>H22*I22</f>
        <v>0</v>
      </c>
      <c r="BK22" s="28" t="s">
        <v>149</v>
      </c>
      <c r="BL22" s="28">
        <v>11</v>
      </c>
    </row>
    <row r="23" spans="1:64" x14ac:dyDescent="0.2">
      <c r="A23" s="3"/>
      <c r="C23" s="54" t="s">
        <v>165</v>
      </c>
      <c r="F23" s="54"/>
      <c r="H23" s="55">
        <v>31</v>
      </c>
      <c r="M23" s="17"/>
      <c r="N23" s="3"/>
    </row>
    <row r="24" spans="1:64" ht="12.75" customHeight="1" x14ac:dyDescent="0.2">
      <c r="A24" s="3"/>
      <c r="B24" s="56" t="s">
        <v>151</v>
      </c>
      <c r="C24" s="99" t="s">
        <v>166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3"/>
    </row>
    <row r="25" spans="1:64" x14ac:dyDescent="0.2">
      <c r="A25" s="57"/>
      <c r="B25" s="58" t="s">
        <v>72</v>
      </c>
      <c r="C25" s="101" t="s">
        <v>73</v>
      </c>
      <c r="D25" s="101"/>
      <c r="E25" s="101"/>
      <c r="F25" s="101"/>
      <c r="G25" s="59" t="s">
        <v>61</v>
      </c>
      <c r="H25" s="59" t="s">
        <v>61</v>
      </c>
      <c r="I25" s="59" t="s">
        <v>61</v>
      </c>
      <c r="J25" s="51">
        <f>SUM(J26:J29)</f>
        <v>0</v>
      </c>
      <c r="K25" s="51">
        <f>SUM(K26:K29)</f>
        <v>0</v>
      </c>
      <c r="L25" s="51">
        <f>SUM(L26:L29)</f>
        <v>0</v>
      </c>
      <c r="M25" s="60"/>
      <c r="N25" s="3"/>
      <c r="AI25" s="37"/>
      <c r="AS25" s="51">
        <f>SUM(AJ26:AJ29)</f>
        <v>0</v>
      </c>
      <c r="AT25" s="51">
        <f>SUM(AK26:AK29)</f>
        <v>0</v>
      </c>
      <c r="AU25" s="51">
        <f>SUM(AL26:AL29)</f>
        <v>0</v>
      </c>
    </row>
    <row r="26" spans="1:64" x14ac:dyDescent="0.2">
      <c r="A26" s="29" t="s">
        <v>167</v>
      </c>
      <c r="B26" s="4" t="s">
        <v>168</v>
      </c>
      <c r="C26" s="81" t="s">
        <v>169</v>
      </c>
      <c r="D26" s="81"/>
      <c r="E26" s="81"/>
      <c r="F26" s="81"/>
      <c r="G26" s="4" t="s">
        <v>170</v>
      </c>
      <c r="H26" s="28">
        <v>63</v>
      </c>
      <c r="I26" s="28">
        <v>0</v>
      </c>
      <c r="J26" s="28">
        <f>H26*AO26</f>
        <v>0</v>
      </c>
      <c r="K26" s="28">
        <f>H26*AP26</f>
        <v>0</v>
      </c>
      <c r="L26" s="28">
        <f>H26*I26</f>
        <v>0</v>
      </c>
      <c r="M26" s="52" t="s">
        <v>145</v>
      </c>
      <c r="N26" s="3"/>
      <c r="Z26" s="28">
        <f>IF(AQ26="5",BJ26,0)</f>
        <v>0</v>
      </c>
      <c r="AB26" s="28">
        <f>IF(AQ26="1",BH26,0)</f>
        <v>0</v>
      </c>
      <c r="AC26" s="28">
        <f>IF(AQ26="1",BI26,0)</f>
        <v>0</v>
      </c>
      <c r="AD26" s="28">
        <f>IF(AQ26="7",BH26,0)</f>
        <v>0</v>
      </c>
      <c r="AE26" s="28">
        <f>IF(AQ26="7",BI26,0)</f>
        <v>0</v>
      </c>
      <c r="AF26" s="28">
        <f>IF(AQ26="2",BH26,0)</f>
        <v>0</v>
      </c>
      <c r="AG26" s="28">
        <f>IF(AQ26="2",BI26,0)</f>
        <v>0</v>
      </c>
      <c r="AH26" s="28">
        <f>IF(AQ26="0",BJ26,0)</f>
        <v>0</v>
      </c>
      <c r="AI26" s="37"/>
      <c r="AJ26" s="28">
        <f>IF(AN26=0,L26,0)</f>
        <v>0</v>
      </c>
      <c r="AK26" s="28">
        <f>IF(AN26=15,L26,0)</f>
        <v>0</v>
      </c>
      <c r="AL26" s="28">
        <f>IF(AN26=21,L26,0)</f>
        <v>0</v>
      </c>
      <c r="AN26" s="28">
        <v>21</v>
      </c>
      <c r="AO26" s="28">
        <f>I26*0</f>
        <v>0</v>
      </c>
      <c r="AP26" s="28">
        <f>I26*(1-0)</f>
        <v>0</v>
      </c>
      <c r="AQ26" s="53" t="s">
        <v>141</v>
      </c>
      <c r="AV26" s="28">
        <f>AW26+AX26</f>
        <v>0</v>
      </c>
      <c r="AW26" s="28">
        <f>H26*AO26</f>
        <v>0</v>
      </c>
      <c r="AX26" s="28">
        <f>H26*AP26</f>
        <v>0</v>
      </c>
      <c r="AY26" s="53" t="s">
        <v>171</v>
      </c>
      <c r="AZ26" s="53" t="s">
        <v>147</v>
      </c>
      <c r="BA26" s="37" t="s">
        <v>148</v>
      </c>
      <c r="BC26" s="28">
        <f>AW26+AX26</f>
        <v>0</v>
      </c>
      <c r="BD26" s="28">
        <f>I26/(100-BE26)*100</f>
        <v>0</v>
      </c>
      <c r="BE26" s="28">
        <v>0</v>
      </c>
      <c r="BF26" s="28">
        <f>26</f>
        <v>26</v>
      </c>
      <c r="BH26" s="28">
        <f>H26*AO26</f>
        <v>0</v>
      </c>
      <c r="BI26" s="28">
        <f>H26*AP26</f>
        <v>0</v>
      </c>
      <c r="BJ26" s="28">
        <f>H26*I26</f>
        <v>0</v>
      </c>
      <c r="BK26" s="28" t="s">
        <v>149</v>
      </c>
      <c r="BL26" s="28">
        <v>12</v>
      </c>
    </row>
    <row r="27" spans="1:64" ht="12.75" customHeight="1" x14ac:dyDescent="0.2">
      <c r="A27" s="3"/>
      <c r="B27" s="56" t="s">
        <v>172</v>
      </c>
      <c r="C27" s="102" t="s">
        <v>173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3"/>
    </row>
    <row r="28" spans="1:64" x14ac:dyDescent="0.2">
      <c r="A28" s="3"/>
      <c r="C28" s="54" t="s">
        <v>174</v>
      </c>
      <c r="F28" s="54" t="s">
        <v>175</v>
      </c>
      <c r="H28" s="55">
        <v>63</v>
      </c>
      <c r="M28" s="17"/>
      <c r="N28" s="3"/>
    </row>
    <row r="29" spans="1:64" x14ac:dyDescent="0.2">
      <c r="A29" s="29" t="s">
        <v>176</v>
      </c>
      <c r="B29" s="4" t="s">
        <v>177</v>
      </c>
      <c r="C29" s="81" t="s">
        <v>178</v>
      </c>
      <c r="D29" s="81"/>
      <c r="E29" s="81"/>
      <c r="F29" s="81"/>
      <c r="G29" s="4" t="s">
        <v>170</v>
      </c>
      <c r="H29" s="28">
        <v>544.25</v>
      </c>
      <c r="I29" s="28">
        <v>0</v>
      </c>
      <c r="J29" s="28">
        <f>H29*AO29</f>
        <v>0</v>
      </c>
      <c r="K29" s="28">
        <f>H29*AP29</f>
        <v>0</v>
      </c>
      <c r="L29" s="28">
        <f>H29*I29</f>
        <v>0</v>
      </c>
      <c r="M29" s="52" t="s">
        <v>145</v>
      </c>
      <c r="N29" s="3"/>
      <c r="Z29" s="28">
        <f>IF(AQ29="5",BJ29,0)</f>
        <v>0</v>
      </c>
      <c r="AB29" s="28">
        <f>IF(AQ29="1",BH29,0)</f>
        <v>0</v>
      </c>
      <c r="AC29" s="28">
        <f>IF(AQ29="1",BI29,0)</f>
        <v>0</v>
      </c>
      <c r="AD29" s="28">
        <f>IF(AQ29="7",BH29,0)</f>
        <v>0</v>
      </c>
      <c r="AE29" s="28">
        <f>IF(AQ29="7",BI29,0)</f>
        <v>0</v>
      </c>
      <c r="AF29" s="28">
        <f>IF(AQ29="2",BH29,0)</f>
        <v>0</v>
      </c>
      <c r="AG29" s="28">
        <f>IF(AQ29="2",BI29,0)</f>
        <v>0</v>
      </c>
      <c r="AH29" s="28">
        <f>IF(AQ29="0",BJ29,0)</f>
        <v>0</v>
      </c>
      <c r="AI29" s="37"/>
      <c r="AJ29" s="28">
        <f>IF(AN29=0,L29,0)</f>
        <v>0</v>
      </c>
      <c r="AK29" s="28">
        <f>IF(AN29=15,L29,0)</f>
        <v>0</v>
      </c>
      <c r="AL29" s="28">
        <f>IF(AN29=21,L29,0)</f>
        <v>0</v>
      </c>
      <c r="AN29" s="28">
        <v>21</v>
      </c>
      <c r="AO29" s="28">
        <f>I29*0</f>
        <v>0</v>
      </c>
      <c r="AP29" s="28">
        <f>I29*(1-0)</f>
        <v>0</v>
      </c>
      <c r="AQ29" s="53" t="s">
        <v>141</v>
      </c>
      <c r="AV29" s="28">
        <f>AW29+AX29</f>
        <v>0</v>
      </c>
      <c r="AW29" s="28">
        <f>H29*AO29</f>
        <v>0</v>
      </c>
      <c r="AX29" s="28">
        <f>H29*AP29</f>
        <v>0</v>
      </c>
      <c r="AY29" s="53" t="s">
        <v>171</v>
      </c>
      <c r="AZ29" s="53" t="s">
        <v>147</v>
      </c>
      <c r="BA29" s="37" t="s">
        <v>148</v>
      </c>
      <c r="BC29" s="28">
        <f>AW29+AX29</f>
        <v>0</v>
      </c>
      <c r="BD29" s="28">
        <f>I29/(100-BE29)*100</f>
        <v>0</v>
      </c>
      <c r="BE29" s="28">
        <v>0</v>
      </c>
      <c r="BF29" s="28">
        <f>29</f>
        <v>29</v>
      </c>
      <c r="BH29" s="28">
        <f>H29*AO29</f>
        <v>0</v>
      </c>
      <c r="BI29" s="28">
        <f>H29*AP29</f>
        <v>0</v>
      </c>
      <c r="BJ29" s="28">
        <f>H29*I29</f>
        <v>0</v>
      </c>
      <c r="BK29" s="28" t="s">
        <v>149</v>
      </c>
      <c r="BL29" s="28">
        <v>12</v>
      </c>
    </row>
    <row r="30" spans="1:64" x14ac:dyDescent="0.2">
      <c r="A30" s="3"/>
      <c r="C30" s="54" t="s">
        <v>179</v>
      </c>
      <c r="F30" s="54"/>
      <c r="H30" s="55">
        <v>350</v>
      </c>
      <c r="M30" s="17"/>
      <c r="N30" s="3"/>
    </row>
    <row r="31" spans="1:64" x14ac:dyDescent="0.2">
      <c r="A31" s="3"/>
      <c r="C31" s="54" t="s">
        <v>180</v>
      </c>
      <c r="F31" s="54" t="s">
        <v>181</v>
      </c>
      <c r="H31" s="55">
        <v>194.25</v>
      </c>
      <c r="M31" s="17"/>
      <c r="N31" s="3"/>
    </row>
    <row r="32" spans="1:64" x14ac:dyDescent="0.2">
      <c r="A32" s="57"/>
      <c r="B32" s="58" t="s">
        <v>74</v>
      </c>
      <c r="C32" s="101" t="s">
        <v>75</v>
      </c>
      <c r="D32" s="101"/>
      <c r="E32" s="101"/>
      <c r="F32" s="101"/>
      <c r="G32" s="59" t="s">
        <v>61</v>
      </c>
      <c r="H32" s="59" t="s">
        <v>61</v>
      </c>
      <c r="I32" s="59" t="s">
        <v>61</v>
      </c>
      <c r="J32" s="51">
        <f>SUM(J33)</f>
        <v>0</v>
      </c>
      <c r="K32" s="51">
        <f>SUM(K33)</f>
        <v>0</v>
      </c>
      <c r="L32" s="51">
        <f>SUM(L33)</f>
        <v>0</v>
      </c>
      <c r="M32" s="60"/>
      <c r="N32" s="3"/>
      <c r="AI32" s="37"/>
      <c r="AS32" s="51">
        <f>SUM(AJ33)</f>
        <v>0</v>
      </c>
      <c r="AT32" s="51">
        <f>SUM(AK33)</f>
        <v>0</v>
      </c>
      <c r="AU32" s="51">
        <f>SUM(AL33)</f>
        <v>0</v>
      </c>
    </row>
    <row r="33" spans="1:64" x14ac:dyDescent="0.2">
      <c r="A33" s="29" t="s">
        <v>182</v>
      </c>
      <c r="B33" s="4" t="s">
        <v>183</v>
      </c>
      <c r="C33" s="81" t="s">
        <v>184</v>
      </c>
      <c r="D33" s="81"/>
      <c r="E33" s="81"/>
      <c r="F33" s="81"/>
      <c r="G33" s="4" t="s">
        <v>170</v>
      </c>
      <c r="H33" s="28">
        <v>10</v>
      </c>
      <c r="I33" s="28">
        <v>0</v>
      </c>
      <c r="J33" s="28">
        <f>H33*AO33</f>
        <v>0</v>
      </c>
      <c r="K33" s="28">
        <f>H33*AP33</f>
        <v>0</v>
      </c>
      <c r="L33" s="28">
        <f>H33*I33</f>
        <v>0</v>
      </c>
      <c r="M33" s="52" t="s">
        <v>145</v>
      </c>
      <c r="N33" s="3"/>
      <c r="Z33" s="28">
        <f>IF(AQ33="5",BJ33,0)</f>
        <v>0</v>
      </c>
      <c r="AB33" s="28">
        <f>IF(AQ33="1",BH33,0)</f>
        <v>0</v>
      </c>
      <c r="AC33" s="28">
        <f>IF(AQ33="1",BI33,0)</f>
        <v>0</v>
      </c>
      <c r="AD33" s="28">
        <f>IF(AQ33="7",BH33,0)</f>
        <v>0</v>
      </c>
      <c r="AE33" s="28">
        <f>IF(AQ33="7",BI33,0)</f>
        <v>0</v>
      </c>
      <c r="AF33" s="28">
        <f>IF(AQ33="2",BH33,0)</f>
        <v>0</v>
      </c>
      <c r="AG33" s="28">
        <f>IF(AQ33="2",BI33,0)</f>
        <v>0</v>
      </c>
      <c r="AH33" s="28">
        <f>IF(AQ33="0",BJ33,0)</f>
        <v>0</v>
      </c>
      <c r="AI33" s="37"/>
      <c r="AJ33" s="28">
        <f>IF(AN33=0,L33,0)</f>
        <v>0</v>
      </c>
      <c r="AK33" s="28">
        <f>IF(AN33=15,L33,0)</f>
        <v>0</v>
      </c>
      <c r="AL33" s="28">
        <f>IF(AN33=21,L33,0)</f>
        <v>0</v>
      </c>
      <c r="AN33" s="28">
        <v>21</v>
      </c>
      <c r="AO33" s="28">
        <f>I33*0</f>
        <v>0</v>
      </c>
      <c r="AP33" s="28">
        <f>I33*(1-0)</f>
        <v>0</v>
      </c>
      <c r="AQ33" s="53" t="s">
        <v>141</v>
      </c>
      <c r="AV33" s="28">
        <f>AW33+AX33</f>
        <v>0</v>
      </c>
      <c r="AW33" s="28">
        <f>H33*AO33</f>
        <v>0</v>
      </c>
      <c r="AX33" s="28">
        <f>H33*AP33</f>
        <v>0</v>
      </c>
      <c r="AY33" s="53" t="s">
        <v>185</v>
      </c>
      <c r="AZ33" s="53" t="s">
        <v>147</v>
      </c>
      <c r="BA33" s="37" t="s">
        <v>148</v>
      </c>
      <c r="BC33" s="28">
        <f>AW33+AX33</f>
        <v>0</v>
      </c>
      <c r="BD33" s="28">
        <f>I33/(100-BE33)*100</f>
        <v>0</v>
      </c>
      <c r="BE33" s="28">
        <v>0</v>
      </c>
      <c r="BF33" s="28">
        <f>33</f>
        <v>33</v>
      </c>
      <c r="BH33" s="28">
        <f>H33*AO33</f>
        <v>0</v>
      </c>
      <c r="BI33" s="28">
        <f>H33*AP33</f>
        <v>0</v>
      </c>
      <c r="BJ33" s="28">
        <f>H33*I33</f>
        <v>0</v>
      </c>
      <c r="BK33" s="28" t="s">
        <v>149</v>
      </c>
      <c r="BL33" s="28">
        <v>13</v>
      </c>
    </row>
    <row r="34" spans="1:64" x14ac:dyDescent="0.2">
      <c r="A34" s="3"/>
      <c r="C34" s="54" t="s">
        <v>186</v>
      </c>
      <c r="F34" s="54" t="s">
        <v>187</v>
      </c>
      <c r="H34" s="55">
        <v>10</v>
      </c>
      <c r="M34" s="17"/>
      <c r="N34" s="3"/>
    </row>
    <row r="35" spans="1:64" ht="25.7" customHeight="1" x14ac:dyDescent="0.2">
      <c r="A35" s="3"/>
      <c r="B35" s="56" t="s">
        <v>151</v>
      </c>
      <c r="C35" s="99" t="s">
        <v>188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3"/>
    </row>
    <row r="36" spans="1:64" x14ac:dyDescent="0.2">
      <c r="A36" s="57"/>
      <c r="B36" s="58" t="s">
        <v>76</v>
      </c>
      <c r="C36" s="101" t="s">
        <v>77</v>
      </c>
      <c r="D36" s="101"/>
      <c r="E36" s="101"/>
      <c r="F36" s="101"/>
      <c r="G36" s="59" t="s">
        <v>61</v>
      </c>
      <c r="H36" s="59" t="s">
        <v>61</v>
      </c>
      <c r="I36" s="59" t="s">
        <v>61</v>
      </c>
      <c r="J36" s="51">
        <f>SUM(J37)</f>
        <v>0</v>
      </c>
      <c r="K36" s="51">
        <f>SUM(K37)</f>
        <v>0</v>
      </c>
      <c r="L36" s="51">
        <f>SUM(L37)</f>
        <v>0</v>
      </c>
      <c r="M36" s="60"/>
      <c r="N36" s="3"/>
      <c r="AI36" s="37"/>
      <c r="AS36" s="51">
        <f>SUM(AJ37)</f>
        <v>0</v>
      </c>
      <c r="AT36" s="51">
        <f>SUM(AK37)</f>
        <v>0</v>
      </c>
      <c r="AU36" s="51">
        <f>SUM(AL37)</f>
        <v>0</v>
      </c>
    </row>
    <row r="37" spans="1:64" x14ac:dyDescent="0.2">
      <c r="A37" s="29" t="s">
        <v>189</v>
      </c>
      <c r="B37" s="4" t="s">
        <v>190</v>
      </c>
      <c r="C37" s="81" t="s">
        <v>191</v>
      </c>
      <c r="D37" s="81"/>
      <c r="E37" s="81"/>
      <c r="F37" s="81"/>
      <c r="G37" s="4" t="s">
        <v>170</v>
      </c>
      <c r="H37" s="28">
        <v>230</v>
      </c>
      <c r="I37" s="28">
        <v>0</v>
      </c>
      <c r="J37" s="28">
        <f>H37*AO37</f>
        <v>0</v>
      </c>
      <c r="K37" s="28">
        <f>H37*AP37</f>
        <v>0</v>
      </c>
      <c r="L37" s="28">
        <f>H37*I37</f>
        <v>0</v>
      </c>
      <c r="M37" s="52" t="s">
        <v>145</v>
      </c>
      <c r="N37" s="3"/>
      <c r="Z37" s="28">
        <f>IF(AQ37="5",BJ37,0)</f>
        <v>0</v>
      </c>
      <c r="AB37" s="28">
        <f>IF(AQ37="1",BH37,0)</f>
        <v>0</v>
      </c>
      <c r="AC37" s="28">
        <f>IF(AQ37="1",BI37,0)</f>
        <v>0</v>
      </c>
      <c r="AD37" s="28">
        <f>IF(AQ37="7",BH37,0)</f>
        <v>0</v>
      </c>
      <c r="AE37" s="28">
        <f>IF(AQ37="7",BI37,0)</f>
        <v>0</v>
      </c>
      <c r="AF37" s="28">
        <f>IF(AQ37="2",BH37,0)</f>
        <v>0</v>
      </c>
      <c r="AG37" s="28">
        <f>IF(AQ37="2",BI37,0)</f>
        <v>0</v>
      </c>
      <c r="AH37" s="28">
        <f>IF(AQ37="0",BJ37,0)</f>
        <v>0</v>
      </c>
      <c r="AI37" s="37"/>
      <c r="AJ37" s="28">
        <f>IF(AN37=0,L37,0)</f>
        <v>0</v>
      </c>
      <c r="AK37" s="28">
        <f>IF(AN37=15,L37,0)</f>
        <v>0</v>
      </c>
      <c r="AL37" s="28">
        <f>IF(AN37=21,L37,0)</f>
        <v>0</v>
      </c>
      <c r="AN37" s="28">
        <v>21</v>
      </c>
      <c r="AO37" s="28">
        <f>I37*0</f>
        <v>0</v>
      </c>
      <c r="AP37" s="28">
        <f>I37*(1-0)</f>
        <v>0</v>
      </c>
      <c r="AQ37" s="53" t="s">
        <v>141</v>
      </c>
      <c r="AV37" s="28">
        <f>AW37+AX37</f>
        <v>0</v>
      </c>
      <c r="AW37" s="28">
        <f>H37*AO37</f>
        <v>0</v>
      </c>
      <c r="AX37" s="28">
        <f>H37*AP37</f>
        <v>0</v>
      </c>
      <c r="AY37" s="53" t="s">
        <v>192</v>
      </c>
      <c r="AZ37" s="53" t="s">
        <v>147</v>
      </c>
      <c r="BA37" s="37" t="s">
        <v>148</v>
      </c>
      <c r="BC37" s="28">
        <f>AW37+AX37</f>
        <v>0</v>
      </c>
      <c r="BD37" s="28">
        <f>I37/(100-BE37)*100</f>
        <v>0</v>
      </c>
      <c r="BE37" s="28">
        <v>0</v>
      </c>
      <c r="BF37" s="28">
        <f>37</f>
        <v>37</v>
      </c>
      <c r="BH37" s="28">
        <f>H37*AO37</f>
        <v>0</v>
      </c>
      <c r="BI37" s="28">
        <f>H37*AP37</f>
        <v>0</v>
      </c>
      <c r="BJ37" s="28">
        <f>H37*I37</f>
        <v>0</v>
      </c>
      <c r="BK37" s="28" t="s">
        <v>149</v>
      </c>
      <c r="BL37" s="28">
        <v>16</v>
      </c>
    </row>
    <row r="38" spans="1:64" x14ac:dyDescent="0.2">
      <c r="A38" s="3"/>
      <c r="C38" s="54" t="s">
        <v>193</v>
      </c>
      <c r="F38" s="54"/>
      <c r="H38" s="55">
        <v>230</v>
      </c>
      <c r="M38" s="17"/>
      <c r="N38" s="3"/>
    </row>
    <row r="39" spans="1:64" x14ac:dyDescent="0.2">
      <c r="A39" s="57"/>
      <c r="B39" s="58" t="s">
        <v>78</v>
      </c>
      <c r="C39" s="101" t="s">
        <v>79</v>
      </c>
      <c r="D39" s="101"/>
      <c r="E39" s="101"/>
      <c r="F39" s="101"/>
      <c r="G39" s="59" t="s">
        <v>61</v>
      </c>
      <c r="H39" s="59" t="s">
        <v>61</v>
      </c>
      <c r="I39" s="59" t="s">
        <v>61</v>
      </c>
      <c r="J39" s="51">
        <f>SUM(J40:J48)</f>
        <v>0</v>
      </c>
      <c r="K39" s="51">
        <f>SUM(K40:K48)</f>
        <v>0</v>
      </c>
      <c r="L39" s="51">
        <f>SUM(L40:L48)</f>
        <v>0</v>
      </c>
      <c r="M39" s="60"/>
      <c r="N39" s="3"/>
      <c r="AI39" s="37"/>
      <c r="AS39" s="51">
        <f>SUM(AJ40:AJ48)</f>
        <v>0</v>
      </c>
      <c r="AT39" s="51">
        <f>SUM(AK40:AK48)</f>
        <v>0</v>
      </c>
      <c r="AU39" s="51">
        <f>SUM(AL40:AL48)</f>
        <v>0</v>
      </c>
    </row>
    <row r="40" spans="1:64" x14ac:dyDescent="0.2">
      <c r="A40" s="29" t="s">
        <v>194</v>
      </c>
      <c r="B40" s="4" t="s">
        <v>195</v>
      </c>
      <c r="C40" s="81" t="s">
        <v>196</v>
      </c>
      <c r="D40" s="81"/>
      <c r="E40" s="81"/>
      <c r="F40" s="81"/>
      <c r="G40" s="4" t="s">
        <v>170</v>
      </c>
      <c r="H40" s="28">
        <v>324.25</v>
      </c>
      <c r="I40" s="28">
        <v>0</v>
      </c>
      <c r="J40" s="28">
        <f>H40*AO40</f>
        <v>0</v>
      </c>
      <c r="K40" s="28">
        <f>H40*AP40</f>
        <v>0</v>
      </c>
      <c r="L40" s="28">
        <f>H40*I40</f>
        <v>0</v>
      </c>
      <c r="M40" s="52" t="s">
        <v>145</v>
      </c>
      <c r="N40" s="3"/>
      <c r="Z40" s="28">
        <f>IF(AQ40="5",BJ40,0)</f>
        <v>0</v>
      </c>
      <c r="AB40" s="28">
        <f>IF(AQ40="1",BH40,0)</f>
        <v>0</v>
      </c>
      <c r="AC40" s="28">
        <f>IF(AQ40="1",BI40,0)</f>
        <v>0</v>
      </c>
      <c r="AD40" s="28">
        <f>IF(AQ40="7",BH40,0)</f>
        <v>0</v>
      </c>
      <c r="AE40" s="28">
        <f>IF(AQ40="7",BI40,0)</f>
        <v>0</v>
      </c>
      <c r="AF40" s="28">
        <f>IF(AQ40="2",BH40,0)</f>
        <v>0</v>
      </c>
      <c r="AG40" s="28">
        <f>IF(AQ40="2",BI40,0)</f>
        <v>0</v>
      </c>
      <c r="AH40" s="28">
        <f>IF(AQ40="0",BJ40,0)</f>
        <v>0</v>
      </c>
      <c r="AI40" s="37"/>
      <c r="AJ40" s="28">
        <f>IF(AN40=0,L40,0)</f>
        <v>0</v>
      </c>
      <c r="AK40" s="28">
        <f>IF(AN40=15,L40,0)</f>
        <v>0</v>
      </c>
      <c r="AL40" s="28">
        <f>IF(AN40=21,L40,0)</f>
        <v>0</v>
      </c>
      <c r="AN40" s="28">
        <v>21</v>
      </c>
      <c r="AO40" s="28">
        <f>I40*0</f>
        <v>0</v>
      </c>
      <c r="AP40" s="28">
        <f>I40*(1-0)</f>
        <v>0</v>
      </c>
      <c r="AQ40" s="53" t="s">
        <v>141</v>
      </c>
      <c r="AV40" s="28">
        <f>AW40+AX40</f>
        <v>0</v>
      </c>
      <c r="AW40" s="28">
        <f>H40*AO40</f>
        <v>0</v>
      </c>
      <c r="AX40" s="28">
        <f>H40*AP40</f>
        <v>0</v>
      </c>
      <c r="AY40" s="53" t="s">
        <v>197</v>
      </c>
      <c r="AZ40" s="53" t="s">
        <v>147</v>
      </c>
      <c r="BA40" s="37" t="s">
        <v>148</v>
      </c>
      <c r="BC40" s="28">
        <f>AW40+AX40</f>
        <v>0</v>
      </c>
      <c r="BD40" s="28">
        <f>I40/(100-BE40)*100</f>
        <v>0</v>
      </c>
      <c r="BE40" s="28">
        <v>0</v>
      </c>
      <c r="BF40" s="28">
        <f>40</f>
        <v>40</v>
      </c>
      <c r="BH40" s="28">
        <f>H40*AO40</f>
        <v>0</v>
      </c>
      <c r="BI40" s="28">
        <f>H40*AP40</f>
        <v>0</v>
      </c>
      <c r="BJ40" s="28">
        <f>H40*I40</f>
        <v>0</v>
      </c>
      <c r="BK40" s="28" t="s">
        <v>149</v>
      </c>
      <c r="BL40" s="28">
        <v>17</v>
      </c>
    </row>
    <row r="41" spans="1:64" x14ac:dyDescent="0.2">
      <c r="A41" s="3"/>
      <c r="C41" s="54" t="s">
        <v>198</v>
      </c>
      <c r="F41" s="54"/>
      <c r="H41" s="55">
        <v>130</v>
      </c>
      <c r="M41" s="17"/>
      <c r="N41" s="3"/>
    </row>
    <row r="42" spans="1:64" x14ac:dyDescent="0.2">
      <c r="A42" s="3"/>
      <c r="C42" s="54" t="s">
        <v>180</v>
      </c>
      <c r="F42" s="54" t="s">
        <v>199</v>
      </c>
      <c r="H42" s="55">
        <v>194.25</v>
      </c>
      <c r="M42" s="17"/>
      <c r="N42" s="3"/>
    </row>
    <row r="43" spans="1:64" ht="12.75" customHeight="1" x14ac:dyDescent="0.2">
      <c r="A43" s="3"/>
      <c r="B43" s="56" t="s">
        <v>151</v>
      </c>
      <c r="C43" s="99" t="s">
        <v>200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3"/>
    </row>
    <row r="44" spans="1:64" x14ac:dyDescent="0.2">
      <c r="A44" s="29" t="s">
        <v>201</v>
      </c>
      <c r="B44" s="4" t="s">
        <v>202</v>
      </c>
      <c r="C44" s="81" t="s">
        <v>203</v>
      </c>
      <c r="D44" s="81"/>
      <c r="E44" s="81"/>
      <c r="F44" s="81"/>
      <c r="G44" s="4" t="s">
        <v>204</v>
      </c>
      <c r="H44" s="28">
        <v>427.35</v>
      </c>
      <c r="I44" s="28">
        <v>0</v>
      </c>
      <c r="J44" s="28">
        <f>H44*AO44</f>
        <v>0</v>
      </c>
      <c r="K44" s="28">
        <f>H44*AP44</f>
        <v>0</v>
      </c>
      <c r="L44" s="28">
        <f>H44*I44</f>
        <v>0</v>
      </c>
      <c r="M44" s="52" t="s">
        <v>145</v>
      </c>
      <c r="N44" s="3"/>
      <c r="Z44" s="28">
        <f>IF(AQ44="5",BJ44,0)</f>
        <v>0</v>
      </c>
      <c r="AB44" s="28">
        <f>IF(AQ44="1",BH44,0)</f>
        <v>0</v>
      </c>
      <c r="AC44" s="28">
        <f>IF(AQ44="1",BI44,0)</f>
        <v>0</v>
      </c>
      <c r="AD44" s="28">
        <f>IF(AQ44="7",BH44,0)</f>
        <v>0</v>
      </c>
      <c r="AE44" s="28">
        <f>IF(AQ44="7",BI44,0)</f>
        <v>0</v>
      </c>
      <c r="AF44" s="28">
        <f>IF(AQ44="2",BH44,0)</f>
        <v>0</v>
      </c>
      <c r="AG44" s="28">
        <f>IF(AQ44="2",BI44,0)</f>
        <v>0</v>
      </c>
      <c r="AH44" s="28">
        <f>IF(AQ44="0",BJ44,0)</f>
        <v>0</v>
      </c>
      <c r="AI44" s="37"/>
      <c r="AJ44" s="28">
        <f>IF(AN44=0,L44,0)</f>
        <v>0</v>
      </c>
      <c r="AK44" s="28">
        <f>IF(AN44=15,L44,0)</f>
        <v>0</v>
      </c>
      <c r="AL44" s="28">
        <f>IF(AN44=21,L44,0)</f>
        <v>0</v>
      </c>
      <c r="AN44" s="28">
        <v>21</v>
      </c>
      <c r="AO44" s="28">
        <f>I44*1</f>
        <v>0</v>
      </c>
      <c r="AP44" s="28">
        <f>I44*(1-1)</f>
        <v>0</v>
      </c>
      <c r="AQ44" s="53" t="s">
        <v>141</v>
      </c>
      <c r="AV44" s="28">
        <f>AW44+AX44</f>
        <v>0</v>
      </c>
      <c r="AW44" s="28">
        <f>H44*AO44</f>
        <v>0</v>
      </c>
      <c r="AX44" s="28">
        <f>H44*AP44</f>
        <v>0</v>
      </c>
      <c r="AY44" s="53" t="s">
        <v>197</v>
      </c>
      <c r="AZ44" s="53" t="s">
        <v>147</v>
      </c>
      <c r="BA44" s="37" t="s">
        <v>148</v>
      </c>
      <c r="BC44" s="28">
        <f>AW44+AX44</f>
        <v>0</v>
      </c>
      <c r="BD44" s="28">
        <f>I44/(100-BE44)*100</f>
        <v>0</v>
      </c>
      <c r="BE44" s="28">
        <v>0</v>
      </c>
      <c r="BF44" s="28">
        <f>44</f>
        <v>44</v>
      </c>
      <c r="BH44" s="28">
        <f>H44*AO44</f>
        <v>0</v>
      </c>
      <c r="BI44" s="28">
        <f>H44*AP44</f>
        <v>0</v>
      </c>
      <c r="BJ44" s="28">
        <f>H44*I44</f>
        <v>0</v>
      </c>
      <c r="BK44" s="28" t="s">
        <v>205</v>
      </c>
      <c r="BL44" s="28">
        <v>17</v>
      </c>
    </row>
    <row r="45" spans="1:64" x14ac:dyDescent="0.2">
      <c r="A45" s="3"/>
      <c r="C45" s="54" t="s">
        <v>206</v>
      </c>
      <c r="F45" s="54" t="s">
        <v>207</v>
      </c>
      <c r="H45" s="55">
        <v>427.35</v>
      </c>
      <c r="M45" s="17"/>
      <c r="N45" s="3"/>
    </row>
    <row r="46" spans="1:64" x14ac:dyDescent="0.2">
      <c r="A46" s="29" t="s">
        <v>69</v>
      </c>
      <c r="B46" s="4" t="s">
        <v>208</v>
      </c>
      <c r="C46" s="81" t="s">
        <v>209</v>
      </c>
      <c r="D46" s="81"/>
      <c r="E46" s="81"/>
      <c r="F46" s="81"/>
      <c r="G46" s="4" t="s">
        <v>170</v>
      </c>
      <c r="H46" s="28">
        <v>9</v>
      </c>
      <c r="I46" s="28">
        <v>0</v>
      </c>
      <c r="J46" s="28">
        <f>H46*AO46</f>
        <v>0</v>
      </c>
      <c r="K46" s="28">
        <f>H46*AP46</f>
        <v>0</v>
      </c>
      <c r="L46" s="28">
        <f>H46*I46</f>
        <v>0</v>
      </c>
      <c r="M46" s="52" t="s">
        <v>145</v>
      </c>
      <c r="N46" s="3"/>
      <c r="Z46" s="28">
        <f>IF(AQ46="5",BJ46,0)</f>
        <v>0</v>
      </c>
      <c r="AB46" s="28">
        <f>IF(AQ46="1",BH46,0)</f>
        <v>0</v>
      </c>
      <c r="AC46" s="28">
        <f>IF(AQ46="1",BI46,0)</f>
        <v>0</v>
      </c>
      <c r="AD46" s="28">
        <f>IF(AQ46="7",BH46,0)</f>
        <v>0</v>
      </c>
      <c r="AE46" s="28">
        <f>IF(AQ46="7",BI46,0)</f>
        <v>0</v>
      </c>
      <c r="AF46" s="28">
        <f>IF(AQ46="2",BH46,0)</f>
        <v>0</v>
      </c>
      <c r="AG46" s="28">
        <f>IF(AQ46="2",BI46,0)</f>
        <v>0</v>
      </c>
      <c r="AH46" s="28">
        <f>IF(AQ46="0",BJ46,0)</f>
        <v>0</v>
      </c>
      <c r="AI46" s="37"/>
      <c r="AJ46" s="28">
        <f>IF(AN46=0,L46,0)</f>
        <v>0</v>
      </c>
      <c r="AK46" s="28">
        <f>IF(AN46=15,L46,0)</f>
        <v>0</v>
      </c>
      <c r="AL46" s="28">
        <f>IF(AN46=21,L46,0)</f>
        <v>0</v>
      </c>
      <c r="AN46" s="28">
        <v>21</v>
      </c>
      <c r="AO46" s="28">
        <f>I46*0</f>
        <v>0</v>
      </c>
      <c r="AP46" s="28">
        <f>I46*(1-0)</f>
        <v>0</v>
      </c>
      <c r="AQ46" s="53" t="s">
        <v>141</v>
      </c>
      <c r="AV46" s="28">
        <f>AW46+AX46</f>
        <v>0</v>
      </c>
      <c r="AW46" s="28">
        <f>H46*AO46</f>
        <v>0</v>
      </c>
      <c r="AX46" s="28">
        <f>H46*AP46</f>
        <v>0</v>
      </c>
      <c r="AY46" s="53" t="s">
        <v>197</v>
      </c>
      <c r="AZ46" s="53" t="s">
        <v>147</v>
      </c>
      <c r="BA46" s="37" t="s">
        <v>148</v>
      </c>
      <c r="BC46" s="28">
        <f>AW46+AX46</f>
        <v>0</v>
      </c>
      <c r="BD46" s="28">
        <f>I46/(100-BE46)*100</f>
        <v>0</v>
      </c>
      <c r="BE46" s="28">
        <v>0</v>
      </c>
      <c r="BF46" s="28">
        <f>46</f>
        <v>46</v>
      </c>
      <c r="BH46" s="28">
        <f>H46*AO46</f>
        <v>0</v>
      </c>
      <c r="BI46" s="28">
        <f>H46*AP46</f>
        <v>0</v>
      </c>
      <c r="BJ46" s="28">
        <f>H46*I46</f>
        <v>0</v>
      </c>
      <c r="BK46" s="28" t="s">
        <v>149</v>
      </c>
      <c r="BL46" s="28">
        <v>17</v>
      </c>
    </row>
    <row r="47" spans="1:64" x14ac:dyDescent="0.2">
      <c r="A47" s="3"/>
      <c r="C47" s="54" t="s">
        <v>210</v>
      </c>
      <c r="F47" s="54" t="s">
        <v>211</v>
      </c>
      <c r="H47" s="55">
        <v>9</v>
      </c>
      <c r="M47" s="17"/>
      <c r="N47" s="3"/>
    </row>
    <row r="48" spans="1:64" x14ac:dyDescent="0.2">
      <c r="A48" s="29" t="s">
        <v>72</v>
      </c>
      <c r="B48" s="4" t="s">
        <v>212</v>
      </c>
      <c r="C48" s="81" t="s">
        <v>213</v>
      </c>
      <c r="D48" s="81"/>
      <c r="E48" s="81"/>
      <c r="F48" s="81"/>
      <c r="G48" s="4" t="s">
        <v>204</v>
      </c>
      <c r="H48" s="28">
        <v>16.2</v>
      </c>
      <c r="I48" s="28">
        <v>0</v>
      </c>
      <c r="J48" s="28">
        <f>H48*AO48</f>
        <v>0</v>
      </c>
      <c r="K48" s="28">
        <f>H48*AP48</f>
        <v>0</v>
      </c>
      <c r="L48" s="28">
        <f>H48*I48</f>
        <v>0</v>
      </c>
      <c r="M48" s="52" t="s">
        <v>145</v>
      </c>
      <c r="N48" s="3"/>
      <c r="Z48" s="28">
        <f>IF(AQ48="5",BJ48,0)</f>
        <v>0</v>
      </c>
      <c r="AB48" s="28">
        <f>IF(AQ48="1",BH48,0)</f>
        <v>0</v>
      </c>
      <c r="AC48" s="28">
        <f>IF(AQ48="1",BI48,0)</f>
        <v>0</v>
      </c>
      <c r="AD48" s="28">
        <f>IF(AQ48="7",BH48,0)</f>
        <v>0</v>
      </c>
      <c r="AE48" s="28">
        <f>IF(AQ48="7",BI48,0)</f>
        <v>0</v>
      </c>
      <c r="AF48" s="28">
        <f>IF(AQ48="2",BH48,0)</f>
        <v>0</v>
      </c>
      <c r="AG48" s="28">
        <f>IF(AQ48="2",BI48,0)</f>
        <v>0</v>
      </c>
      <c r="AH48" s="28">
        <f>IF(AQ48="0",BJ48,0)</f>
        <v>0</v>
      </c>
      <c r="AI48" s="37"/>
      <c r="AJ48" s="28">
        <f>IF(AN48=0,L48,0)</f>
        <v>0</v>
      </c>
      <c r="AK48" s="28">
        <f>IF(AN48=15,L48,0)</f>
        <v>0</v>
      </c>
      <c r="AL48" s="28">
        <f>IF(AN48=21,L48,0)</f>
        <v>0</v>
      </c>
      <c r="AN48" s="28">
        <v>21</v>
      </c>
      <c r="AO48" s="28">
        <f>I48*1</f>
        <v>0</v>
      </c>
      <c r="AP48" s="28">
        <f>I48*(1-1)</f>
        <v>0</v>
      </c>
      <c r="AQ48" s="53" t="s">
        <v>141</v>
      </c>
      <c r="AV48" s="28">
        <f>AW48+AX48</f>
        <v>0</v>
      </c>
      <c r="AW48" s="28">
        <f>H48*AO48</f>
        <v>0</v>
      </c>
      <c r="AX48" s="28">
        <f>H48*AP48</f>
        <v>0</v>
      </c>
      <c r="AY48" s="53" t="s">
        <v>197</v>
      </c>
      <c r="AZ48" s="53" t="s">
        <v>147</v>
      </c>
      <c r="BA48" s="37" t="s">
        <v>148</v>
      </c>
      <c r="BC48" s="28">
        <f>AW48+AX48</f>
        <v>0</v>
      </c>
      <c r="BD48" s="28">
        <f>I48/(100-BE48)*100</f>
        <v>0</v>
      </c>
      <c r="BE48" s="28">
        <v>0</v>
      </c>
      <c r="BF48" s="28">
        <f>48</f>
        <v>48</v>
      </c>
      <c r="BH48" s="28">
        <f>H48*AO48</f>
        <v>0</v>
      </c>
      <c r="BI48" s="28">
        <f>H48*AP48</f>
        <v>0</v>
      </c>
      <c r="BJ48" s="28">
        <f>H48*I48</f>
        <v>0</v>
      </c>
      <c r="BK48" s="28" t="s">
        <v>205</v>
      </c>
      <c r="BL48" s="28">
        <v>17</v>
      </c>
    </row>
    <row r="49" spans="1:64" x14ac:dyDescent="0.2">
      <c r="A49" s="3"/>
      <c r="C49" s="54" t="s">
        <v>214</v>
      </c>
      <c r="F49" s="54"/>
      <c r="H49" s="55">
        <v>16.2</v>
      </c>
      <c r="M49" s="17"/>
      <c r="N49" s="3"/>
    </row>
    <row r="50" spans="1:64" x14ac:dyDescent="0.2">
      <c r="A50" s="57"/>
      <c r="B50" s="58" t="s">
        <v>80</v>
      </c>
      <c r="C50" s="101" t="s">
        <v>81</v>
      </c>
      <c r="D50" s="101"/>
      <c r="E50" s="101"/>
      <c r="F50" s="101"/>
      <c r="G50" s="59" t="s">
        <v>61</v>
      </c>
      <c r="H50" s="59" t="s">
        <v>61</v>
      </c>
      <c r="I50" s="59" t="s">
        <v>61</v>
      </c>
      <c r="J50" s="51">
        <f>SUM(J51:J54)</f>
        <v>0</v>
      </c>
      <c r="K50" s="51">
        <f>SUM(K51:K54)</f>
        <v>0</v>
      </c>
      <c r="L50" s="51">
        <f>SUM(L51:L54)</f>
        <v>0</v>
      </c>
      <c r="M50" s="60"/>
      <c r="N50" s="3"/>
      <c r="AI50" s="37"/>
      <c r="AS50" s="51">
        <f>SUM(AJ51:AJ54)</f>
        <v>0</v>
      </c>
      <c r="AT50" s="51">
        <f>SUM(AK51:AK54)</f>
        <v>0</v>
      </c>
      <c r="AU50" s="51">
        <f>SUM(AL51:AL54)</f>
        <v>0</v>
      </c>
    </row>
    <row r="51" spans="1:64" x14ac:dyDescent="0.2">
      <c r="A51" s="29" t="s">
        <v>74</v>
      </c>
      <c r="B51" s="4" t="s">
        <v>215</v>
      </c>
      <c r="C51" s="81" t="s">
        <v>216</v>
      </c>
      <c r="D51" s="81"/>
      <c r="E51" s="81"/>
      <c r="F51" s="81"/>
      <c r="G51" s="4" t="s">
        <v>144</v>
      </c>
      <c r="H51" s="28">
        <v>1295</v>
      </c>
      <c r="I51" s="28">
        <v>0</v>
      </c>
      <c r="J51" s="28">
        <f>H51*AO51</f>
        <v>0</v>
      </c>
      <c r="K51" s="28">
        <f>H51*AP51</f>
        <v>0</v>
      </c>
      <c r="L51" s="28">
        <f>H51*I51</f>
        <v>0</v>
      </c>
      <c r="M51" s="52" t="s">
        <v>145</v>
      </c>
      <c r="N51" s="3"/>
      <c r="Z51" s="28">
        <f>IF(AQ51="5",BJ51,0)</f>
        <v>0</v>
      </c>
      <c r="AB51" s="28">
        <f>IF(AQ51="1",BH51,0)</f>
        <v>0</v>
      </c>
      <c r="AC51" s="28">
        <f>IF(AQ51="1",BI51,0)</f>
        <v>0</v>
      </c>
      <c r="AD51" s="28">
        <f>IF(AQ51="7",BH51,0)</f>
        <v>0</v>
      </c>
      <c r="AE51" s="28">
        <f>IF(AQ51="7",BI51,0)</f>
        <v>0</v>
      </c>
      <c r="AF51" s="28">
        <f>IF(AQ51="2",BH51,0)</f>
        <v>0</v>
      </c>
      <c r="AG51" s="28">
        <f>IF(AQ51="2",BI51,0)</f>
        <v>0</v>
      </c>
      <c r="AH51" s="28">
        <f>IF(AQ51="0",BJ51,0)</f>
        <v>0</v>
      </c>
      <c r="AI51" s="37"/>
      <c r="AJ51" s="28">
        <f>IF(AN51=0,L51,0)</f>
        <v>0</v>
      </c>
      <c r="AK51" s="28">
        <f>IF(AN51=15,L51,0)</f>
        <v>0</v>
      </c>
      <c r="AL51" s="28">
        <f>IF(AN51=21,L51,0)</f>
        <v>0</v>
      </c>
      <c r="AN51" s="28">
        <v>21</v>
      </c>
      <c r="AO51" s="28">
        <f>I51*0</f>
        <v>0</v>
      </c>
      <c r="AP51" s="28">
        <f>I51*(1-0)</f>
        <v>0</v>
      </c>
      <c r="AQ51" s="53" t="s">
        <v>141</v>
      </c>
      <c r="AV51" s="28">
        <f>AW51+AX51</f>
        <v>0</v>
      </c>
      <c r="AW51" s="28">
        <f>H51*AO51</f>
        <v>0</v>
      </c>
      <c r="AX51" s="28">
        <f>H51*AP51</f>
        <v>0</v>
      </c>
      <c r="AY51" s="53" t="s">
        <v>217</v>
      </c>
      <c r="AZ51" s="53" t="s">
        <v>147</v>
      </c>
      <c r="BA51" s="37" t="s">
        <v>148</v>
      </c>
      <c r="BC51" s="28">
        <f>AW51+AX51</f>
        <v>0</v>
      </c>
      <c r="BD51" s="28">
        <f>I51/(100-BE51)*100</f>
        <v>0</v>
      </c>
      <c r="BE51" s="28">
        <v>0</v>
      </c>
      <c r="BF51" s="28">
        <f>51</f>
        <v>51</v>
      </c>
      <c r="BH51" s="28">
        <f>H51*AO51</f>
        <v>0</v>
      </c>
      <c r="BI51" s="28">
        <f>H51*AP51</f>
        <v>0</v>
      </c>
      <c r="BJ51" s="28">
        <f>H51*I51</f>
        <v>0</v>
      </c>
      <c r="BK51" s="28" t="s">
        <v>149</v>
      </c>
      <c r="BL51" s="28">
        <v>18</v>
      </c>
    </row>
    <row r="52" spans="1:64" x14ac:dyDescent="0.2">
      <c r="A52" s="3"/>
      <c r="C52" s="54" t="s">
        <v>218</v>
      </c>
      <c r="F52" s="54"/>
      <c r="H52" s="55">
        <v>1295</v>
      </c>
      <c r="M52" s="17"/>
      <c r="N52" s="3"/>
    </row>
    <row r="53" spans="1:64" ht="12.75" customHeight="1" x14ac:dyDescent="0.2">
      <c r="A53" s="3"/>
      <c r="B53" s="56" t="s">
        <v>151</v>
      </c>
      <c r="C53" s="99" t="s">
        <v>219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3"/>
    </row>
    <row r="54" spans="1:64" x14ac:dyDescent="0.2">
      <c r="A54" s="29" t="s">
        <v>220</v>
      </c>
      <c r="B54" s="4" t="s">
        <v>221</v>
      </c>
      <c r="C54" s="81" t="s">
        <v>222</v>
      </c>
      <c r="D54" s="81"/>
      <c r="E54" s="81"/>
      <c r="F54" s="81"/>
      <c r="G54" s="4" t="s">
        <v>144</v>
      </c>
      <c r="H54" s="28">
        <v>420</v>
      </c>
      <c r="I54" s="28">
        <v>0</v>
      </c>
      <c r="J54" s="28">
        <f>H54*AO54</f>
        <v>0</v>
      </c>
      <c r="K54" s="28">
        <f>H54*AP54</f>
        <v>0</v>
      </c>
      <c r="L54" s="28">
        <f>H54*I54</f>
        <v>0</v>
      </c>
      <c r="M54" s="52" t="s">
        <v>145</v>
      </c>
      <c r="N54" s="3"/>
      <c r="Z54" s="28">
        <f>IF(AQ54="5",BJ54,0)</f>
        <v>0</v>
      </c>
      <c r="AB54" s="28">
        <f>IF(AQ54="1",BH54,0)</f>
        <v>0</v>
      </c>
      <c r="AC54" s="28">
        <f>IF(AQ54="1",BI54,0)</f>
        <v>0</v>
      </c>
      <c r="AD54" s="28">
        <f>IF(AQ54="7",BH54,0)</f>
        <v>0</v>
      </c>
      <c r="AE54" s="28">
        <f>IF(AQ54="7",BI54,0)</f>
        <v>0</v>
      </c>
      <c r="AF54" s="28">
        <f>IF(AQ54="2",BH54,0)</f>
        <v>0</v>
      </c>
      <c r="AG54" s="28">
        <f>IF(AQ54="2",BI54,0)</f>
        <v>0</v>
      </c>
      <c r="AH54" s="28">
        <f>IF(AQ54="0",BJ54,0)</f>
        <v>0</v>
      </c>
      <c r="AI54" s="37"/>
      <c r="AJ54" s="28">
        <f>IF(AN54=0,L54,0)</f>
        <v>0</v>
      </c>
      <c r="AK54" s="28">
        <f>IF(AN54=15,L54,0)</f>
        <v>0</v>
      </c>
      <c r="AL54" s="28">
        <f>IF(AN54=21,L54,0)</f>
        <v>0</v>
      </c>
      <c r="AN54" s="28">
        <v>21</v>
      </c>
      <c r="AO54" s="28">
        <f>I54*0</f>
        <v>0</v>
      </c>
      <c r="AP54" s="28">
        <f>I54*(1-0)</f>
        <v>0</v>
      </c>
      <c r="AQ54" s="53" t="s">
        <v>141</v>
      </c>
      <c r="AV54" s="28">
        <f>AW54+AX54</f>
        <v>0</v>
      </c>
      <c r="AW54" s="28">
        <f>H54*AO54</f>
        <v>0</v>
      </c>
      <c r="AX54" s="28">
        <f>H54*AP54</f>
        <v>0</v>
      </c>
      <c r="AY54" s="53" t="s">
        <v>217</v>
      </c>
      <c r="AZ54" s="53" t="s">
        <v>147</v>
      </c>
      <c r="BA54" s="37" t="s">
        <v>148</v>
      </c>
      <c r="BC54" s="28">
        <f>AW54+AX54</f>
        <v>0</v>
      </c>
      <c r="BD54" s="28">
        <f>I54/(100-BE54)*100</f>
        <v>0</v>
      </c>
      <c r="BE54" s="28">
        <v>0</v>
      </c>
      <c r="BF54" s="28">
        <f>54</f>
        <v>54</v>
      </c>
      <c r="BH54" s="28">
        <f>H54*AO54</f>
        <v>0</v>
      </c>
      <c r="BI54" s="28">
        <f>H54*AP54</f>
        <v>0</v>
      </c>
      <c r="BJ54" s="28">
        <f>H54*I54</f>
        <v>0</v>
      </c>
      <c r="BK54" s="28" t="s">
        <v>149</v>
      </c>
      <c r="BL54" s="28">
        <v>18</v>
      </c>
    </row>
    <row r="55" spans="1:64" x14ac:dyDescent="0.2">
      <c r="A55" s="3"/>
      <c r="C55" s="54" t="s">
        <v>223</v>
      </c>
      <c r="F55" s="54"/>
      <c r="H55" s="55">
        <v>420</v>
      </c>
      <c r="M55" s="17"/>
      <c r="N55" s="3"/>
    </row>
    <row r="56" spans="1:64" ht="12.75" customHeight="1" x14ac:dyDescent="0.2">
      <c r="A56" s="3"/>
      <c r="B56" s="56" t="s">
        <v>151</v>
      </c>
      <c r="C56" s="99" t="s">
        <v>224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3"/>
    </row>
    <row r="57" spans="1:64" x14ac:dyDescent="0.2">
      <c r="A57" s="57"/>
      <c r="B57" s="58" t="s">
        <v>82</v>
      </c>
      <c r="C57" s="101" t="s">
        <v>83</v>
      </c>
      <c r="D57" s="101"/>
      <c r="E57" s="101"/>
      <c r="F57" s="101"/>
      <c r="G57" s="59" t="s">
        <v>61</v>
      </c>
      <c r="H57" s="59" t="s">
        <v>61</v>
      </c>
      <c r="I57" s="59" t="s">
        <v>61</v>
      </c>
      <c r="J57" s="51">
        <f>SUM(J58)</f>
        <v>0</v>
      </c>
      <c r="K57" s="51">
        <f>SUM(K58)</f>
        <v>0</v>
      </c>
      <c r="L57" s="51">
        <f>SUM(L58)</f>
        <v>0</v>
      </c>
      <c r="M57" s="60"/>
      <c r="N57" s="3"/>
      <c r="AI57" s="37"/>
      <c r="AS57" s="51">
        <f>SUM(AJ58)</f>
        <v>0</v>
      </c>
      <c r="AT57" s="51">
        <f>SUM(AK58)</f>
        <v>0</v>
      </c>
      <c r="AU57" s="51">
        <f>SUM(AL58)</f>
        <v>0</v>
      </c>
    </row>
    <row r="58" spans="1:64" x14ac:dyDescent="0.2">
      <c r="A58" s="29" t="s">
        <v>225</v>
      </c>
      <c r="B58" s="4" t="s">
        <v>226</v>
      </c>
      <c r="C58" s="81" t="s">
        <v>227</v>
      </c>
      <c r="D58" s="81"/>
      <c r="E58" s="81"/>
      <c r="F58" s="81"/>
      <c r="G58" s="4" t="s">
        <v>204</v>
      </c>
      <c r="H58" s="28">
        <v>368</v>
      </c>
      <c r="I58" s="28">
        <v>0</v>
      </c>
      <c r="J58" s="28">
        <f>H58*AO58</f>
        <v>0</v>
      </c>
      <c r="K58" s="28">
        <f>H58*AP58</f>
        <v>0</v>
      </c>
      <c r="L58" s="28">
        <f>H58*I58</f>
        <v>0</v>
      </c>
      <c r="M58" s="52" t="s">
        <v>145</v>
      </c>
      <c r="N58" s="3"/>
      <c r="Z58" s="28">
        <f>IF(AQ58="5",BJ58,0)</f>
        <v>0</v>
      </c>
      <c r="AB58" s="28">
        <f>IF(AQ58="1",BH58,0)</f>
        <v>0</v>
      </c>
      <c r="AC58" s="28">
        <f>IF(AQ58="1",BI58,0)</f>
        <v>0</v>
      </c>
      <c r="AD58" s="28">
        <f>IF(AQ58="7",BH58,0)</f>
        <v>0</v>
      </c>
      <c r="AE58" s="28">
        <f>IF(AQ58="7",BI58,0)</f>
        <v>0</v>
      </c>
      <c r="AF58" s="28">
        <f>IF(AQ58="2",BH58,0)</f>
        <v>0</v>
      </c>
      <c r="AG58" s="28">
        <f>IF(AQ58="2",BI58,0)</f>
        <v>0</v>
      </c>
      <c r="AH58" s="28">
        <f>IF(AQ58="0",BJ58,0)</f>
        <v>0</v>
      </c>
      <c r="AI58" s="37"/>
      <c r="AJ58" s="28">
        <f>IF(AN58=0,L58,0)</f>
        <v>0</v>
      </c>
      <c r="AK58" s="28">
        <f>IF(AN58=15,L58,0)</f>
        <v>0</v>
      </c>
      <c r="AL58" s="28">
        <f>IF(AN58=21,L58,0)</f>
        <v>0</v>
      </c>
      <c r="AN58" s="28">
        <v>21</v>
      </c>
      <c r="AO58" s="28">
        <f>I58*0</f>
        <v>0</v>
      </c>
      <c r="AP58" s="28">
        <f>I58*(1-0)</f>
        <v>0</v>
      </c>
      <c r="AQ58" s="53" t="s">
        <v>141</v>
      </c>
      <c r="AV58" s="28">
        <f>AW58+AX58</f>
        <v>0</v>
      </c>
      <c r="AW58" s="28">
        <f>H58*AO58</f>
        <v>0</v>
      </c>
      <c r="AX58" s="28">
        <f>H58*AP58</f>
        <v>0</v>
      </c>
      <c r="AY58" s="53" t="s">
        <v>228</v>
      </c>
      <c r="AZ58" s="53" t="s">
        <v>147</v>
      </c>
      <c r="BA58" s="37" t="s">
        <v>148</v>
      </c>
      <c r="BC58" s="28">
        <f>AW58+AX58</f>
        <v>0</v>
      </c>
      <c r="BD58" s="28">
        <f>I58/(100-BE58)*100</f>
        <v>0</v>
      </c>
      <c r="BE58" s="28">
        <v>0</v>
      </c>
      <c r="BF58" s="28">
        <f>58</f>
        <v>58</v>
      </c>
      <c r="BH58" s="28">
        <f>H58*AO58</f>
        <v>0</v>
      </c>
      <c r="BI58" s="28">
        <f>H58*AP58</f>
        <v>0</v>
      </c>
      <c r="BJ58" s="28">
        <f>H58*I58</f>
        <v>0</v>
      </c>
      <c r="BK58" s="28" t="s">
        <v>149</v>
      </c>
      <c r="BL58" s="28">
        <v>19</v>
      </c>
    </row>
    <row r="59" spans="1:64" x14ac:dyDescent="0.2">
      <c r="A59" s="3"/>
      <c r="C59" s="54" t="s">
        <v>229</v>
      </c>
      <c r="F59" s="54"/>
      <c r="H59" s="55">
        <v>368</v>
      </c>
      <c r="M59" s="17"/>
      <c r="N59" s="3"/>
    </row>
    <row r="60" spans="1:64" x14ac:dyDescent="0.2">
      <c r="A60" s="57"/>
      <c r="B60" s="58" t="s">
        <v>84</v>
      </c>
      <c r="C60" s="101" t="s">
        <v>85</v>
      </c>
      <c r="D60" s="101"/>
      <c r="E60" s="101"/>
      <c r="F60" s="101"/>
      <c r="G60" s="59" t="s">
        <v>61</v>
      </c>
      <c r="H60" s="59" t="s">
        <v>61</v>
      </c>
      <c r="I60" s="59" t="s">
        <v>61</v>
      </c>
      <c r="J60" s="51">
        <f>SUM(J61:J64)</f>
        <v>0</v>
      </c>
      <c r="K60" s="51">
        <f>SUM(K61:K64)</f>
        <v>0</v>
      </c>
      <c r="L60" s="51">
        <f>SUM(L61:L64)</f>
        <v>0</v>
      </c>
      <c r="M60" s="60"/>
      <c r="N60" s="3"/>
      <c r="AI60" s="37"/>
      <c r="AS60" s="51">
        <f>SUM(AJ61:AJ64)</f>
        <v>0</v>
      </c>
      <c r="AT60" s="51">
        <f>SUM(AK61:AK64)</f>
        <v>0</v>
      </c>
      <c r="AU60" s="51">
        <f>SUM(AL61:AL64)</f>
        <v>0</v>
      </c>
    </row>
    <row r="61" spans="1:64" x14ac:dyDescent="0.2">
      <c r="A61" s="29" t="s">
        <v>76</v>
      </c>
      <c r="B61" s="4" t="s">
        <v>230</v>
      </c>
      <c r="C61" s="81" t="s">
        <v>231</v>
      </c>
      <c r="D61" s="81"/>
      <c r="E61" s="81"/>
      <c r="F61" s="81"/>
      <c r="G61" s="4" t="s">
        <v>144</v>
      </c>
      <c r="H61" s="28">
        <v>39.799999999999997</v>
      </c>
      <c r="I61" s="28">
        <v>0</v>
      </c>
      <c r="J61" s="28">
        <f>H61*AO61</f>
        <v>0</v>
      </c>
      <c r="K61" s="28">
        <f>H61*AP61</f>
        <v>0</v>
      </c>
      <c r="L61" s="28">
        <f>H61*I61</f>
        <v>0</v>
      </c>
      <c r="M61" s="52" t="s">
        <v>145</v>
      </c>
      <c r="N61" s="3"/>
      <c r="Z61" s="28">
        <f>IF(AQ61="5",BJ61,0)</f>
        <v>0</v>
      </c>
      <c r="AB61" s="28">
        <f>IF(AQ61="1",BH61,0)</f>
        <v>0</v>
      </c>
      <c r="AC61" s="28">
        <f>IF(AQ61="1",BI61,0)</f>
        <v>0</v>
      </c>
      <c r="AD61" s="28">
        <f>IF(AQ61="7",BH61,0)</f>
        <v>0</v>
      </c>
      <c r="AE61" s="28">
        <f>IF(AQ61="7",BI61,0)</f>
        <v>0</v>
      </c>
      <c r="AF61" s="28">
        <f>IF(AQ61="2",BH61,0)</f>
        <v>0</v>
      </c>
      <c r="AG61" s="28">
        <f>IF(AQ61="2",BI61,0)</f>
        <v>0</v>
      </c>
      <c r="AH61" s="28">
        <f>IF(AQ61="0",BJ61,0)</f>
        <v>0</v>
      </c>
      <c r="AI61" s="37"/>
      <c r="AJ61" s="28">
        <f>IF(AN61=0,L61,0)</f>
        <v>0</v>
      </c>
      <c r="AK61" s="28">
        <f>IF(AN61=15,L61,0)</f>
        <v>0</v>
      </c>
      <c r="AL61" s="28">
        <f>IF(AN61=21,L61,0)</f>
        <v>0</v>
      </c>
      <c r="AN61" s="28">
        <v>21</v>
      </c>
      <c r="AO61" s="28">
        <f>I61*0.0273722627737226</f>
        <v>0</v>
      </c>
      <c r="AP61" s="28">
        <f>I61*(1-0.0273722627737226)</f>
        <v>0</v>
      </c>
      <c r="AQ61" s="53" t="s">
        <v>141</v>
      </c>
      <c r="AV61" s="28">
        <f>AW61+AX61</f>
        <v>0</v>
      </c>
      <c r="AW61" s="28">
        <f>H61*AO61</f>
        <v>0</v>
      </c>
      <c r="AX61" s="28">
        <f>H61*AP61</f>
        <v>0</v>
      </c>
      <c r="AY61" s="53" t="s">
        <v>232</v>
      </c>
      <c r="AZ61" s="53" t="s">
        <v>233</v>
      </c>
      <c r="BA61" s="37" t="s">
        <v>148</v>
      </c>
      <c r="BC61" s="28">
        <f>AW61+AX61</f>
        <v>0</v>
      </c>
      <c r="BD61" s="28">
        <f>I61/(100-BE61)*100</f>
        <v>0</v>
      </c>
      <c r="BE61" s="28">
        <v>0</v>
      </c>
      <c r="BF61" s="28">
        <f>61</f>
        <v>61</v>
      </c>
      <c r="BH61" s="28">
        <f>H61*AO61</f>
        <v>0</v>
      </c>
      <c r="BI61" s="28">
        <f>H61*AP61</f>
        <v>0</v>
      </c>
      <c r="BJ61" s="28">
        <f>H61*I61</f>
        <v>0</v>
      </c>
      <c r="BK61" s="28" t="s">
        <v>149</v>
      </c>
      <c r="BL61" s="28">
        <v>21</v>
      </c>
    </row>
    <row r="62" spans="1:64" x14ac:dyDescent="0.2">
      <c r="A62" s="3"/>
      <c r="C62" s="54" t="s">
        <v>234</v>
      </c>
      <c r="F62" s="54"/>
      <c r="H62" s="55">
        <v>30.4</v>
      </c>
      <c r="M62" s="17"/>
      <c r="N62" s="3"/>
    </row>
    <row r="63" spans="1:64" x14ac:dyDescent="0.2">
      <c r="A63" s="3"/>
      <c r="C63" s="54" t="s">
        <v>235</v>
      </c>
      <c r="F63" s="54"/>
      <c r="H63" s="55">
        <v>9.4</v>
      </c>
      <c r="M63" s="17"/>
      <c r="N63" s="3"/>
    </row>
    <row r="64" spans="1:64" x14ac:dyDescent="0.2">
      <c r="A64" s="29" t="s">
        <v>78</v>
      </c>
      <c r="B64" s="4" t="s">
        <v>236</v>
      </c>
      <c r="C64" s="81" t="s">
        <v>237</v>
      </c>
      <c r="D64" s="81"/>
      <c r="E64" s="81"/>
      <c r="F64" s="81"/>
      <c r="G64" s="4" t="s">
        <v>144</v>
      </c>
      <c r="H64" s="28">
        <v>47.76</v>
      </c>
      <c r="I64" s="28">
        <v>0</v>
      </c>
      <c r="J64" s="28">
        <f>H64*AO64</f>
        <v>0</v>
      </c>
      <c r="K64" s="28">
        <f>H64*AP64</f>
        <v>0</v>
      </c>
      <c r="L64" s="28">
        <f>H64*I64</f>
        <v>0</v>
      </c>
      <c r="M64" s="52" t="s">
        <v>145</v>
      </c>
      <c r="N64" s="3"/>
      <c r="Z64" s="28">
        <f>IF(AQ64="5",BJ64,0)</f>
        <v>0</v>
      </c>
      <c r="AB64" s="28">
        <f>IF(AQ64="1",BH64,0)</f>
        <v>0</v>
      </c>
      <c r="AC64" s="28">
        <f>IF(AQ64="1",BI64,0)</f>
        <v>0</v>
      </c>
      <c r="AD64" s="28">
        <f>IF(AQ64="7",BH64,0)</f>
        <v>0</v>
      </c>
      <c r="AE64" s="28">
        <f>IF(AQ64="7",BI64,0)</f>
        <v>0</v>
      </c>
      <c r="AF64" s="28">
        <f>IF(AQ64="2",BH64,0)</f>
        <v>0</v>
      </c>
      <c r="AG64" s="28">
        <f>IF(AQ64="2",BI64,0)</f>
        <v>0</v>
      </c>
      <c r="AH64" s="28">
        <f>IF(AQ64="0",BJ64,0)</f>
        <v>0</v>
      </c>
      <c r="AI64" s="37"/>
      <c r="AJ64" s="28">
        <f>IF(AN64=0,L64,0)</f>
        <v>0</v>
      </c>
      <c r="AK64" s="28">
        <f>IF(AN64=15,L64,0)</f>
        <v>0</v>
      </c>
      <c r="AL64" s="28">
        <f>IF(AN64=21,L64,0)</f>
        <v>0</v>
      </c>
      <c r="AN64" s="28">
        <v>21</v>
      </c>
      <c r="AO64" s="28">
        <f>I64*1</f>
        <v>0</v>
      </c>
      <c r="AP64" s="28">
        <f>I64*(1-1)</f>
        <v>0</v>
      </c>
      <c r="AQ64" s="53" t="s">
        <v>141</v>
      </c>
      <c r="AV64" s="28">
        <f>AW64+AX64</f>
        <v>0</v>
      </c>
      <c r="AW64" s="28">
        <f>H64*AO64</f>
        <v>0</v>
      </c>
      <c r="AX64" s="28">
        <f>H64*AP64</f>
        <v>0</v>
      </c>
      <c r="AY64" s="53" t="s">
        <v>232</v>
      </c>
      <c r="AZ64" s="53" t="s">
        <v>233</v>
      </c>
      <c r="BA64" s="37" t="s">
        <v>148</v>
      </c>
      <c r="BC64" s="28">
        <f>AW64+AX64</f>
        <v>0</v>
      </c>
      <c r="BD64" s="28">
        <f>I64/(100-BE64)*100</f>
        <v>0</v>
      </c>
      <c r="BE64" s="28">
        <v>0</v>
      </c>
      <c r="BF64" s="28">
        <f>64</f>
        <v>64</v>
      </c>
      <c r="BH64" s="28">
        <f>H64*AO64</f>
        <v>0</v>
      </c>
      <c r="BI64" s="28">
        <f>H64*AP64</f>
        <v>0</v>
      </c>
      <c r="BJ64" s="28">
        <f>H64*I64</f>
        <v>0</v>
      </c>
      <c r="BK64" s="28" t="s">
        <v>205</v>
      </c>
      <c r="BL64" s="28">
        <v>21</v>
      </c>
    </row>
    <row r="65" spans="1:64" x14ac:dyDescent="0.2">
      <c r="A65" s="3"/>
      <c r="C65" s="54" t="s">
        <v>238</v>
      </c>
      <c r="F65" s="54"/>
      <c r="H65" s="55">
        <v>47.76</v>
      </c>
      <c r="M65" s="17"/>
      <c r="N65" s="3"/>
    </row>
    <row r="66" spans="1:64" ht="51.4" customHeight="1" x14ac:dyDescent="0.2">
      <c r="A66" s="3"/>
      <c r="B66" s="56" t="s">
        <v>151</v>
      </c>
      <c r="C66" s="99" t="s">
        <v>239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3"/>
    </row>
    <row r="67" spans="1:64" x14ac:dyDescent="0.2">
      <c r="A67" s="57"/>
      <c r="B67" s="58" t="s">
        <v>86</v>
      </c>
      <c r="C67" s="101" t="s">
        <v>87</v>
      </c>
      <c r="D67" s="101"/>
      <c r="E67" s="101"/>
      <c r="F67" s="101"/>
      <c r="G67" s="59" t="s">
        <v>61</v>
      </c>
      <c r="H67" s="59" t="s">
        <v>61</v>
      </c>
      <c r="I67" s="59" t="s">
        <v>61</v>
      </c>
      <c r="J67" s="51">
        <f>SUM(J68)</f>
        <v>0</v>
      </c>
      <c r="K67" s="51">
        <f>SUM(K68)</f>
        <v>0</v>
      </c>
      <c r="L67" s="51">
        <f>SUM(L68)</f>
        <v>0</v>
      </c>
      <c r="M67" s="60"/>
      <c r="N67" s="3"/>
      <c r="AI67" s="37"/>
      <c r="AS67" s="51">
        <f>SUM(AJ68)</f>
        <v>0</v>
      </c>
      <c r="AT67" s="51">
        <f>SUM(AK68)</f>
        <v>0</v>
      </c>
      <c r="AU67" s="51">
        <f>SUM(AL68)</f>
        <v>0</v>
      </c>
    </row>
    <row r="68" spans="1:64" x14ac:dyDescent="0.2">
      <c r="A68" s="29" t="s">
        <v>80</v>
      </c>
      <c r="B68" s="4" t="s">
        <v>240</v>
      </c>
      <c r="C68" s="81" t="s">
        <v>241</v>
      </c>
      <c r="D68" s="81"/>
      <c r="E68" s="81"/>
      <c r="F68" s="81"/>
      <c r="G68" s="4" t="s">
        <v>164</v>
      </c>
      <c r="H68" s="28">
        <v>10</v>
      </c>
      <c r="I68" s="28">
        <v>0</v>
      </c>
      <c r="J68" s="28">
        <f>H68*AO68</f>
        <v>0</v>
      </c>
      <c r="K68" s="28">
        <f>H68*AP68</f>
        <v>0</v>
      </c>
      <c r="L68" s="28">
        <f>H68*I68</f>
        <v>0</v>
      </c>
      <c r="M68" s="52" t="s">
        <v>145</v>
      </c>
      <c r="N68" s="3"/>
      <c r="Z68" s="28">
        <f>IF(AQ68="5",BJ68,0)</f>
        <v>0</v>
      </c>
      <c r="AB68" s="28">
        <f>IF(AQ68="1",BH68,0)</f>
        <v>0</v>
      </c>
      <c r="AC68" s="28">
        <f>IF(AQ68="1",BI68,0)</f>
        <v>0</v>
      </c>
      <c r="AD68" s="28">
        <f>IF(AQ68="7",BH68,0)</f>
        <v>0</v>
      </c>
      <c r="AE68" s="28">
        <f>IF(AQ68="7",BI68,0)</f>
        <v>0</v>
      </c>
      <c r="AF68" s="28">
        <f>IF(AQ68="2",BH68,0)</f>
        <v>0</v>
      </c>
      <c r="AG68" s="28">
        <f>IF(AQ68="2",BI68,0)</f>
        <v>0</v>
      </c>
      <c r="AH68" s="28">
        <f>IF(AQ68="0",BJ68,0)</f>
        <v>0</v>
      </c>
      <c r="AI68" s="37"/>
      <c r="AJ68" s="28">
        <f>IF(AN68=0,L68,0)</f>
        <v>0</v>
      </c>
      <c r="AK68" s="28">
        <f>IF(AN68=15,L68,0)</f>
        <v>0</v>
      </c>
      <c r="AL68" s="28">
        <f>IF(AN68=21,L68,0)</f>
        <v>0</v>
      </c>
      <c r="AN68" s="28">
        <v>21</v>
      </c>
      <c r="AO68" s="28">
        <f>I68*0.736495956873315</f>
        <v>0</v>
      </c>
      <c r="AP68" s="28">
        <f>I68*(1-0.736495956873315)</f>
        <v>0</v>
      </c>
      <c r="AQ68" s="53" t="s">
        <v>141</v>
      </c>
      <c r="AV68" s="28">
        <f>AW68+AX68</f>
        <v>0</v>
      </c>
      <c r="AW68" s="28">
        <f>H68*AO68</f>
        <v>0</v>
      </c>
      <c r="AX68" s="28">
        <f>H68*AP68</f>
        <v>0</v>
      </c>
      <c r="AY68" s="53" t="s">
        <v>242</v>
      </c>
      <c r="AZ68" s="53" t="s">
        <v>243</v>
      </c>
      <c r="BA68" s="37" t="s">
        <v>148</v>
      </c>
      <c r="BC68" s="28">
        <f>AW68+AX68</f>
        <v>0</v>
      </c>
      <c r="BD68" s="28">
        <f>I68/(100-BE68)*100</f>
        <v>0</v>
      </c>
      <c r="BE68" s="28">
        <v>0</v>
      </c>
      <c r="BF68" s="28">
        <f>68</f>
        <v>68</v>
      </c>
      <c r="BH68" s="28">
        <f>H68*AO68</f>
        <v>0</v>
      </c>
      <c r="BI68" s="28">
        <f>H68*AP68</f>
        <v>0</v>
      </c>
      <c r="BJ68" s="28">
        <f>H68*I68</f>
        <v>0</v>
      </c>
      <c r="BK68" s="28" t="s">
        <v>149</v>
      </c>
      <c r="BL68" s="28">
        <v>38</v>
      </c>
    </row>
    <row r="69" spans="1:64" x14ac:dyDescent="0.2">
      <c r="A69" s="3"/>
      <c r="C69" s="54" t="s">
        <v>201</v>
      </c>
      <c r="F69" s="54" t="s">
        <v>244</v>
      </c>
      <c r="H69" s="55">
        <v>10</v>
      </c>
      <c r="M69" s="17"/>
      <c r="N69" s="3"/>
    </row>
    <row r="70" spans="1:64" ht="12.75" customHeight="1" x14ac:dyDescent="0.2">
      <c r="A70" s="3"/>
      <c r="B70" s="56" t="s">
        <v>151</v>
      </c>
      <c r="C70" s="99" t="s">
        <v>245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3"/>
    </row>
    <row r="71" spans="1:64" x14ac:dyDescent="0.2">
      <c r="A71" s="57"/>
      <c r="B71" s="58" t="s">
        <v>88</v>
      </c>
      <c r="C71" s="101" t="s">
        <v>89</v>
      </c>
      <c r="D71" s="101"/>
      <c r="E71" s="101"/>
      <c r="F71" s="101"/>
      <c r="G71" s="59" t="s">
        <v>61</v>
      </c>
      <c r="H71" s="59" t="s">
        <v>61</v>
      </c>
      <c r="I71" s="59" t="s">
        <v>61</v>
      </c>
      <c r="J71" s="51">
        <f>SUM(J72:J75)</f>
        <v>0</v>
      </c>
      <c r="K71" s="51">
        <f>SUM(K72:K75)</f>
        <v>0</v>
      </c>
      <c r="L71" s="51">
        <f>SUM(L72:L75)</f>
        <v>0</v>
      </c>
      <c r="M71" s="60"/>
      <c r="N71" s="3"/>
      <c r="AI71" s="37"/>
      <c r="AS71" s="51">
        <f>SUM(AJ72:AJ75)</f>
        <v>0</v>
      </c>
      <c r="AT71" s="51">
        <f>SUM(AK72:AK75)</f>
        <v>0</v>
      </c>
      <c r="AU71" s="51">
        <f>SUM(AL72:AL75)</f>
        <v>0</v>
      </c>
    </row>
    <row r="72" spans="1:64" x14ac:dyDescent="0.2">
      <c r="A72" s="29" t="s">
        <v>82</v>
      </c>
      <c r="B72" s="4" t="s">
        <v>246</v>
      </c>
      <c r="C72" s="81" t="s">
        <v>247</v>
      </c>
      <c r="D72" s="81"/>
      <c r="E72" s="81"/>
      <c r="F72" s="81"/>
      <c r="G72" s="4" t="s">
        <v>144</v>
      </c>
      <c r="H72" s="28">
        <v>16.100000000000001</v>
      </c>
      <c r="I72" s="28">
        <v>0</v>
      </c>
      <c r="J72" s="28">
        <f>H72*AO72</f>
        <v>0</v>
      </c>
      <c r="K72" s="28">
        <f>H72*AP72</f>
        <v>0</v>
      </c>
      <c r="L72" s="28">
        <f>H72*I72</f>
        <v>0</v>
      </c>
      <c r="M72" s="52" t="s">
        <v>145</v>
      </c>
      <c r="N72" s="3"/>
      <c r="Z72" s="28">
        <f>IF(AQ72="5",BJ72,0)</f>
        <v>0</v>
      </c>
      <c r="AB72" s="28">
        <f>IF(AQ72="1",BH72,0)</f>
        <v>0</v>
      </c>
      <c r="AC72" s="28">
        <f>IF(AQ72="1",BI72,0)</f>
        <v>0</v>
      </c>
      <c r="AD72" s="28">
        <f>IF(AQ72="7",BH72,0)</f>
        <v>0</v>
      </c>
      <c r="AE72" s="28">
        <f>IF(AQ72="7",BI72,0)</f>
        <v>0</v>
      </c>
      <c r="AF72" s="28">
        <f>IF(AQ72="2",BH72,0)</f>
        <v>0</v>
      </c>
      <c r="AG72" s="28">
        <f>IF(AQ72="2",BI72,0)</f>
        <v>0</v>
      </c>
      <c r="AH72" s="28">
        <f>IF(AQ72="0",BJ72,0)</f>
        <v>0</v>
      </c>
      <c r="AI72" s="37"/>
      <c r="AJ72" s="28">
        <f>IF(AN72=0,L72,0)</f>
        <v>0</v>
      </c>
      <c r="AK72" s="28">
        <f>IF(AN72=15,L72,0)</f>
        <v>0</v>
      </c>
      <c r="AL72" s="28">
        <f>IF(AN72=21,L72,0)</f>
        <v>0</v>
      </c>
      <c r="AN72" s="28">
        <v>21</v>
      </c>
      <c r="AO72" s="28">
        <f>I72*0.675859030837004</f>
        <v>0</v>
      </c>
      <c r="AP72" s="28">
        <f>I72*(1-0.675859030837004)</f>
        <v>0</v>
      </c>
      <c r="AQ72" s="53" t="s">
        <v>141</v>
      </c>
      <c r="AV72" s="28">
        <f>AW72+AX72</f>
        <v>0</v>
      </c>
      <c r="AW72" s="28">
        <f>H72*AO72</f>
        <v>0</v>
      </c>
      <c r="AX72" s="28">
        <f>H72*AP72</f>
        <v>0</v>
      </c>
      <c r="AY72" s="53" t="s">
        <v>248</v>
      </c>
      <c r="AZ72" s="53" t="s">
        <v>249</v>
      </c>
      <c r="BA72" s="37" t="s">
        <v>148</v>
      </c>
      <c r="BC72" s="28">
        <f>AW72+AX72</f>
        <v>0</v>
      </c>
      <c r="BD72" s="28">
        <f>I72/(100-BE72)*100</f>
        <v>0</v>
      </c>
      <c r="BE72" s="28">
        <v>0</v>
      </c>
      <c r="BF72" s="28">
        <f>72</f>
        <v>72</v>
      </c>
      <c r="BH72" s="28">
        <f>H72*AO72</f>
        <v>0</v>
      </c>
      <c r="BI72" s="28">
        <f>H72*AP72</f>
        <v>0</v>
      </c>
      <c r="BJ72" s="28">
        <f>H72*I72</f>
        <v>0</v>
      </c>
      <c r="BK72" s="28" t="s">
        <v>149</v>
      </c>
      <c r="BL72" s="28">
        <v>45</v>
      </c>
    </row>
    <row r="73" spans="1:64" x14ac:dyDescent="0.2">
      <c r="A73" s="3"/>
      <c r="C73" s="54" t="s">
        <v>250</v>
      </c>
      <c r="F73" s="54"/>
      <c r="H73" s="55">
        <v>16.100000000000001</v>
      </c>
      <c r="M73" s="17"/>
      <c r="N73" s="3"/>
    </row>
    <row r="74" spans="1:64" ht="12.75" customHeight="1" x14ac:dyDescent="0.2">
      <c r="A74" s="3"/>
      <c r="B74" s="56" t="s">
        <v>151</v>
      </c>
      <c r="C74" s="99" t="s">
        <v>251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3"/>
    </row>
    <row r="75" spans="1:64" x14ac:dyDescent="0.2">
      <c r="A75" s="29" t="s">
        <v>252</v>
      </c>
      <c r="B75" s="4" t="s">
        <v>253</v>
      </c>
      <c r="C75" s="81" t="s">
        <v>254</v>
      </c>
      <c r="D75" s="81"/>
      <c r="E75" s="81"/>
      <c r="F75" s="81"/>
      <c r="G75" s="4" t="s">
        <v>144</v>
      </c>
      <c r="H75" s="28">
        <v>80.5</v>
      </c>
      <c r="I75" s="28">
        <v>0</v>
      </c>
      <c r="J75" s="28">
        <f>H75*AO75</f>
        <v>0</v>
      </c>
      <c r="K75" s="28">
        <f>H75*AP75</f>
        <v>0</v>
      </c>
      <c r="L75" s="28">
        <f>H75*I75</f>
        <v>0</v>
      </c>
      <c r="M75" s="52" t="s">
        <v>145</v>
      </c>
      <c r="N75" s="3"/>
      <c r="Z75" s="28">
        <f>IF(AQ75="5",BJ75,0)</f>
        <v>0</v>
      </c>
      <c r="AB75" s="28">
        <f>IF(AQ75="1",BH75,0)</f>
        <v>0</v>
      </c>
      <c r="AC75" s="28">
        <f>IF(AQ75="1",BI75,0)</f>
        <v>0</v>
      </c>
      <c r="AD75" s="28">
        <f>IF(AQ75="7",BH75,0)</f>
        <v>0</v>
      </c>
      <c r="AE75" s="28">
        <f>IF(AQ75="7",BI75,0)</f>
        <v>0</v>
      </c>
      <c r="AF75" s="28">
        <f>IF(AQ75="2",BH75,0)</f>
        <v>0</v>
      </c>
      <c r="AG75" s="28">
        <f>IF(AQ75="2",BI75,0)</f>
        <v>0</v>
      </c>
      <c r="AH75" s="28">
        <f>IF(AQ75="0",BJ75,0)</f>
        <v>0</v>
      </c>
      <c r="AI75" s="37"/>
      <c r="AJ75" s="28">
        <f>IF(AN75=0,L75,0)</f>
        <v>0</v>
      </c>
      <c r="AK75" s="28">
        <f>IF(AN75=15,L75,0)</f>
        <v>0</v>
      </c>
      <c r="AL75" s="28">
        <f>IF(AN75=21,L75,0)</f>
        <v>0</v>
      </c>
      <c r="AN75" s="28">
        <v>21</v>
      </c>
      <c r="AO75" s="28">
        <f>I75*0.777065671979201</f>
        <v>0</v>
      </c>
      <c r="AP75" s="28">
        <f>I75*(1-0.777065671979201)</f>
        <v>0</v>
      </c>
      <c r="AQ75" s="53" t="s">
        <v>141</v>
      </c>
      <c r="AV75" s="28">
        <f>AW75+AX75</f>
        <v>0</v>
      </c>
      <c r="AW75" s="28">
        <f>H75*AO75</f>
        <v>0</v>
      </c>
      <c r="AX75" s="28">
        <f>H75*AP75</f>
        <v>0</v>
      </c>
      <c r="AY75" s="53" t="s">
        <v>248</v>
      </c>
      <c r="AZ75" s="53" t="s">
        <v>249</v>
      </c>
      <c r="BA75" s="37" t="s">
        <v>148</v>
      </c>
      <c r="BC75" s="28">
        <f>AW75+AX75</f>
        <v>0</v>
      </c>
      <c r="BD75" s="28">
        <f>I75/(100-BE75)*100</f>
        <v>0</v>
      </c>
      <c r="BE75" s="28">
        <v>0</v>
      </c>
      <c r="BF75" s="28">
        <f>75</f>
        <v>75</v>
      </c>
      <c r="BH75" s="28">
        <f>H75*AO75</f>
        <v>0</v>
      </c>
      <c r="BI75" s="28">
        <f>H75*AP75</f>
        <v>0</v>
      </c>
      <c r="BJ75" s="28">
        <f>H75*I75</f>
        <v>0</v>
      </c>
      <c r="BK75" s="28" t="s">
        <v>149</v>
      </c>
      <c r="BL75" s="28">
        <v>45</v>
      </c>
    </row>
    <row r="76" spans="1:64" x14ac:dyDescent="0.2">
      <c r="A76" s="3"/>
      <c r="C76" s="54" t="s">
        <v>255</v>
      </c>
      <c r="F76" s="54"/>
      <c r="H76" s="55">
        <v>80.5</v>
      </c>
      <c r="M76" s="17"/>
      <c r="N76" s="3"/>
    </row>
    <row r="77" spans="1:64" x14ac:dyDescent="0.2">
      <c r="A77" s="57"/>
      <c r="B77" s="58" t="s">
        <v>90</v>
      </c>
      <c r="C77" s="101" t="s">
        <v>91</v>
      </c>
      <c r="D77" s="101"/>
      <c r="E77" s="101"/>
      <c r="F77" s="101"/>
      <c r="G77" s="59" t="s">
        <v>61</v>
      </c>
      <c r="H77" s="59" t="s">
        <v>61</v>
      </c>
      <c r="I77" s="59" t="s">
        <v>61</v>
      </c>
      <c r="J77" s="51">
        <f>SUM(J78:J96)</f>
        <v>0</v>
      </c>
      <c r="K77" s="51">
        <f>SUM(K78:K96)</f>
        <v>0</v>
      </c>
      <c r="L77" s="51">
        <f>SUM(L78:L96)</f>
        <v>0</v>
      </c>
      <c r="M77" s="60"/>
      <c r="N77" s="3"/>
      <c r="AI77" s="37"/>
      <c r="AS77" s="51">
        <f>SUM(AJ78:AJ96)</f>
        <v>0</v>
      </c>
      <c r="AT77" s="51">
        <f>SUM(AK78:AK96)</f>
        <v>0</v>
      </c>
      <c r="AU77" s="51">
        <f>SUM(AL78:AL96)</f>
        <v>0</v>
      </c>
    </row>
    <row r="78" spans="1:64" x14ac:dyDescent="0.2">
      <c r="A78" s="29" t="s">
        <v>84</v>
      </c>
      <c r="B78" s="4" t="s">
        <v>256</v>
      </c>
      <c r="C78" s="81" t="s">
        <v>257</v>
      </c>
      <c r="D78" s="81"/>
      <c r="E78" s="81"/>
      <c r="F78" s="81"/>
      <c r="G78" s="4" t="s">
        <v>144</v>
      </c>
      <c r="H78" s="28">
        <v>307</v>
      </c>
      <c r="I78" s="28">
        <v>0</v>
      </c>
      <c r="J78" s="28">
        <f>H78*AO78</f>
        <v>0</v>
      </c>
      <c r="K78" s="28">
        <f>H78*AP78</f>
        <v>0</v>
      </c>
      <c r="L78" s="28">
        <f>H78*I78</f>
        <v>0</v>
      </c>
      <c r="M78" s="52" t="s">
        <v>145</v>
      </c>
      <c r="N78" s="3"/>
      <c r="Z78" s="28">
        <f>IF(AQ78="5",BJ78,0)</f>
        <v>0</v>
      </c>
      <c r="AB78" s="28">
        <f>IF(AQ78="1",BH78,0)</f>
        <v>0</v>
      </c>
      <c r="AC78" s="28">
        <f>IF(AQ78="1",BI78,0)</f>
        <v>0</v>
      </c>
      <c r="AD78" s="28">
        <f>IF(AQ78="7",BH78,0)</f>
        <v>0</v>
      </c>
      <c r="AE78" s="28">
        <f>IF(AQ78="7",BI78,0)</f>
        <v>0</v>
      </c>
      <c r="AF78" s="28">
        <f>IF(AQ78="2",BH78,0)</f>
        <v>0</v>
      </c>
      <c r="AG78" s="28">
        <f>IF(AQ78="2",BI78,0)</f>
        <v>0</v>
      </c>
      <c r="AH78" s="28">
        <f>IF(AQ78="0",BJ78,0)</f>
        <v>0</v>
      </c>
      <c r="AI78" s="37"/>
      <c r="AJ78" s="28">
        <f>IF(AN78=0,L78,0)</f>
        <v>0</v>
      </c>
      <c r="AK78" s="28">
        <f>IF(AN78=15,L78,0)</f>
        <v>0</v>
      </c>
      <c r="AL78" s="28">
        <f>IF(AN78=21,L78,0)</f>
        <v>0</v>
      </c>
      <c r="AN78" s="28">
        <v>21</v>
      </c>
      <c r="AO78" s="28">
        <f>I78*0.775965346534653</f>
        <v>0</v>
      </c>
      <c r="AP78" s="28">
        <f>I78*(1-0.775965346534653)</f>
        <v>0</v>
      </c>
      <c r="AQ78" s="53" t="s">
        <v>141</v>
      </c>
      <c r="AV78" s="28">
        <f>AW78+AX78</f>
        <v>0</v>
      </c>
      <c r="AW78" s="28">
        <f>H78*AO78</f>
        <v>0</v>
      </c>
      <c r="AX78" s="28">
        <f>H78*AP78</f>
        <v>0</v>
      </c>
      <c r="AY78" s="53" t="s">
        <v>258</v>
      </c>
      <c r="AZ78" s="53" t="s">
        <v>259</v>
      </c>
      <c r="BA78" s="37" t="s">
        <v>148</v>
      </c>
      <c r="BC78" s="28">
        <f>AW78+AX78</f>
        <v>0</v>
      </c>
      <c r="BD78" s="28">
        <f>I78/(100-BE78)*100</f>
        <v>0</v>
      </c>
      <c r="BE78" s="28">
        <v>0</v>
      </c>
      <c r="BF78" s="28">
        <f>78</f>
        <v>78</v>
      </c>
      <c r="BH78" s="28">
        <f>H78*AO78</f>
        <v>0</v>
      </c>
      <c r="BI78" s="28">
        <f>H78*AP78</f>
        <v>0</v>
      </c>
      <c r="BJ78" s="28">
        <f>H78*I78</f>
        <v>0</v>
      </c>
      <c r="BK78" s="28" t="s">
        <v>149</v>
      </c>
      <c r="BL78" s="28">
        <v>56</v>
      </c>
    </row>
    <row r="79" spans="1:64" x14ac:dyDescent="0.2">
      <c r="A79" s="3"/>
      <c r="C79" s="54" t="s">
        <v>260</v>
      </c>
      <c r="F79" s="54"/>
      <c r="H79" s="55">
        <v>307</v>
      </c>
      <c r="M79" s="17"/>
      <c r="N79" s="3"/>
    </row>
    <row r="80" spans="1:64" x14ac:dyDescent="0.2">
      <c r="A80" s="29" t="s">
        <v>261</v>
      </c>
      <c r="B80" s="4" t="s">
        <v>262</v>
      </c>
      <c r="C80" s="81" t="s">
        <v>263</v>
      </c>
      <c r="D80" s="81"/>
      <c r="E80" s="81"/>
      <c r="F80" s="81"/>
      <c r="G80" s="4" t="s">
        <v>144</v>
      </c>
      <c r="H80" s="28">
        <v>1262</v>
      </c>
      <c r="I80" s="28">
        <v>0</v>
      </c>
      <c r="J80" s="28">
        <f>H80*AO80</f>
        <v>0</v>
      </c>
      <c r="K80" s="28">
        <f>H80*AP80</f>
        <v>0</v>
      </c>
      <c r="L80" s="28">
        <f>H80*I80</f>
        <v>0</v>
      </c>
      <c r="M80" s="52" t="s">
        <v>145</v>
      </c>
      <c r="N80" s="3"/>
      <c r="Z80" s="28">
        <f>IF(AQ80="5",BJ80,0)</f>
        <v>0</v>
      </c>
      <c r="AB80" s="28">
        <f>IF(AQ80="1",BH80,0)</f>
        <v>0</v>
      </c>
      <c r="AC80" s="28">
        <f>IF(AQ80="1",BI80,0)</f>
        <v>0</v>
      </c>
      <c r="AD80" s="28">
        <f>IF(AQ80="7",BH80,0)</f>
        <v>0</v>
      </c>
      <c r="AE80" s="28">
        <f>IF(AQ80="7",BI80,0)</f>
        <v>0</v>
      </c>
      <c r="AF80" s="28">
        <f>IF(AQ80="2",BH80,0)</f>
        <v>0</v>
      </c>
      <c r="AG80" s="28">
        <f>IF(AQ80="2",BI80,0)</f>
        <v>0</v>
      </c>
      <c r="AH80" s="28">
        <f>IF(AQ80="0",BJ80,0)</f>
        <v>0</v>
      </c>
      <c r="AI80" s="37"/>
      <c r="AJ80" s="28">
        <f>IF(AN80=0,L80,0)</f>
        <v>0</v>
      </c>
      <c r="AK80" s="28">
        <f>IF(AN80=15,L80,0)</f>
        <v>0</v>
      </c>
      <c r="AL80" s="28">
        <f>IF(AN80=21,L80,0)</f>
        <v>0</v>
      </c>
      <c r="AN80" s="28">
        <v>21</v>
      </c>
      <c r="AO80" s="28">
        <f>I80*0.860765957446808</f>
        <v>0</v>
      </c>
      <c r="AP80" s="28">
        <f>I80*(1-0.860765957446808)</f>
        <v>0</v>
      </c>
      <c r="AQ80" s="53" t="s">
        <v>141</v>
      </c>
      <c r="AV80" s="28">
        <f>AW80+AX80</f>
        <v>0</v>
      </c>
      <c r="AW80" s="28">
        <f>H80*AO80</f>
        <v>0</v>
      </c>
      <c r="AX80" s="28">
        <f>H80*AP80</f>
        <v>0</v>
      </c>
      <c r="AY80" s="53" t="s">
        <v>258</v>
      </c>
      <c r="AZ80" s="53" t="s">
        <v>259</v>
      </c>
      <c r="BA80" s="37" t="s">
        <v>148</v>
      </c>
      <c r="BC80" s="28">
        <f>AW80+AX80</f>
        <v>0</v>
      </c>
      <c r="BD80" s="28">
        <f>I80/(100-BE80)*100</f>
        <v>0</v>
      </c>
      <c r="BE80" s="28">
        <v>0</v>
      </c>
      <c r="BF80" s="28">
        <f>80</f>
        <v>80</v>
      </c>
      <c r="BH80" s="28">
        <f>H80*AO80</f>
        <v>0</v>
      </c>
      <c r="BI80" s="28">
        <f>H80*AP80</f>
        <v>0</v>
      </c>
      <c r="BJ80" s="28">
        <f>H80*I80</f>
        <v>0</v>
      </c>
      <c r="BK80" s="28" t="s">
        <v>149</v>
      </c>
      <c r="BL80" s="28">
        <v>56</v>
      </c>
    </row>
    <row r="81" spans="1:64" ht="12.75" customHeight="1" x14ac:dyDescent="0.2">
      <c r="A81" s="3"/>
      <c r="B81" s="56" t="s">
        <v>172</v>
      </c>
      <c r="C81" s="102" t="s">
        <v>264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3"/>
    </row>
    <row r="82" spans="1:64" x14ac:dyDescent="0.2">
      <c r="A82" s="3"/>
      <c r="C82" s="54" t="s">
        <v>265</v>
      </c>
      <c r="F82" s="54" t="s">
        <v>266</v>
      </c>
      <c r="H82" s="55">
        <v>1262</v>
      </c>
      <c r="M82" s="17"/>
      <c r="N82" s="3"/>
    </row>
    <row r="83" spans="1:64" x14ac:dyDescent="0.2">
      <c r="A83" s="29" t="s">
        <v>267</v>
      </c>
      <c r="B83" s="4" t="s">
        <v>268</v>
      </c>
      <c r="C83" s="81" t="s">
        <v>269</v>
      </c>
      <c r="D83" s="81"/>
      <c r="E83" s="81"/>
      <c r="F83" s="81"/>
      <c r="G83" s="4" t="s">
        <v>144</v>
      </c>
      <c r="H83" s="28">
        <v>1135</v>
      </c>
      <c r="I83" s="28">
        <v>0</v>
      </c>
      <c r="J83" s="28">
        <f>H83*AO83</f>
        <v>0</v>
      </c>
      <c r="K83" s="28">
        <f>H83*AP83</f>
        <v>0</v>
      </c>
      <c r="L83" s="28">
        <f>H83*I83</f>
        <v>0</v>
      </c>
      <c r="M83" s="52" t="s">
        <v>145</v>
      </c>
      <c r="N83" s="3"/>
      <c r="Z83" s="28">
        <f>IF(AQ83="5",BJ83,0)</f>
        <v>0</v>
      </c>
      <c r="AB83" s="28">
        <f>IF(AQ83="1",BH83,0)</f>
        <v>0</v>
      </c>
      <c r="AC83" s="28">
        <f>IF(AQ83="1",BI83,0)</f>
        <v>0</v>
      </c>
      <c r="AD83" s="28">
        <f>IF(AQ83="7",BH83,0)</f>
        <v>0</v>
      </c>
      <c r="AE83" s="28">
        <f>IF(AQ83="7",BI83,0)</f>
        <v>0</v>
      </c>
      <c r="AF83" s="28">
        <f>IF(AQ83="2",BH83,0)</f>
        <v>0</v>
      </c>
      <c r="AG83" s="28">
        <f>IF(AQ83="2",BI83,0)</f>
        <v>0</v>
      </c>
      <c r="AH83" s="28">
        <f>IF(AQ83="0",BJ83,0)</f>
        <v>0</v>
      </c>
      <c r="AI83" s="37"/>
      <c r="AJ83" s="28">
        <f>IF(AN83=0,L83,0)</f>
        <v>0</v>
      </c>
      <c r="AK83" s="28">
        <f>IF(AN83=15,L83,0)</f>
        <v>0</v>
      </c>
      <c r="AL83" s="28">
        <f>IF(AN83=21,L83,0)</f>
        <v>0</v>
      </c>
      <c r="AN83" s="28">
        <v>21</v>
      </c>
      <c r="AO83" s="28">
        <f>I83*0.89869688385269</f>
        <v>0</v>
      </c>
      <c r="AP83" s="28">
        <f>I83*(1-0.89869688385269)</f>
        <v>0</v>
      </c>
      <c r="AQ83" s="53" t="s">
        <v>141</v>
      </c>
      <c r="AV83" s="28">
        <f>AW83+AX83</f>
        <v>0</v>
      </c>
      <c r="AW83" s="28">
        <f>H83*AO83</f>
        <v>0</v>
      </c>
      <c r="AX83" s="28">
        <f>H83*AP83</f>
        <v>0</v>
      </c>
      <c r="AY83" s="53" t="s">
        <v>258</v>
      </c>
      <c r="AZ83" s="53" t="s">
        <v>259</v>
      </c>
      <c r="BA83" s="37" t="s">
        <v>148</v>
      </c>
      <c r="BC83" s="28">
        <f>AW83+AX83</f>
        <v>0</v>
      </c>
      <c r="BD83" s="28">
        <f>I83/(100-BE83)*100</f>
        <v>0</v>
      </c>
      <c r="BE83" s="28">
        <v>0</v>
      </c>
      <c r="BF83" s="28">
        <f>83</f>
        <v>83</v>
      </c>
      <c r="BH83" s="28">
        <f>H83*AO83</f>
        <v>0</v>
      </c>
      <c r="BI83" s="28">
        <f>H83*AP83</f>
        <v>0</v>
      </c>
      <c r="BJ83" s="28">
        <f>H83*I83</f>
        <v>0</v>
      </c>
      <c r="BK83" s="28" t="s">
        <v>149</v>
      </c>
      <c r="BL83" s="28">
        <v>56</v>
      </c>
    </row>
    <row r="84" spans="1:64" x14ac:dyDescent="0.2">
      <c r="A84" s="3"/>
      <c r="C84" s="54" t="s">
        <v>270</v>
      </c>
      <c r="F84" s="54"/>
      <c r="H84" s="55">
        <v>1135</v>
      </c>
      <c r="M84" s="17"/>
      <c r="N84" s="3"/>
    </row>
    <row r="85" spans="1:64" x14ac:dyDescent="0.2">
      <c r="A85" s="29" t="s">
        <v>271</v>
      </c>
      <c r="B85" s="4" t="s">
        <v>272</v>
      </c>
      <c r="C85" s="81" t="s">
        <v>273</v>
      </c>
      <c r="D85" s="81"/>
      <c r="E85" s="81"/>
      <c r="F85" s="81"/>
      <c r="G85" s="4" t="s">
        <v>144</v>
      </c>
      <c r="H85" s="28">
        <v>316</v>
      </c>
      <c r="I85" s="28">
        <v>0</v>
      </c>
      <c r="J85" s="28">
        <f>H85*AO85</f>
        <v>0</v>
      </c>
      <c r="K85" s="28">
        <f>H85*AP85</f>
        <v>0</v>
      </c>
      <c r="L85" s="28">
        <f>H85*I85</f>
        <v>0</v>
      </c>
      <c r="M85" s="52" t="s">
        <v>145</v>
      </c>
      <c r="N85" s="3"/>
      <c r="Z85" s="28">
        <f>IF(AQ85="5",BJ85,0)</f>
        <v>0</v>
      </c>
      <c r="AB85" s="28">
        <f>IF(AQ85="1",BH85,0)</f>
        <v>0</v>
      </c>
      <c r="AC85" s="28">
        <f>IF(AQ85="1",BI85,0)</f>
        <v>0</v>
      </c>
      <c r="AD85" s="28">
        <f>IF(AQ85="7",BH85,0)</f>
        <v>0</v>
      </c>
      <c r="AE85" s="28">
        <f>IF(AQ85="7",BI85,0)</f>
        <v>0</v>
      </c>
      <c r="AF85" s="28">
        <f>IF(AQ85="2",BH85,0)</f>
        <v>0</v>
      </c>
      <c r="AG85" s="28">
        <f>IF(AQ85="2",BI85,0)</f>
        <v>0</v>
      </c>
      <c r="AH85" s="28">
        <f>IF(AQ85="0",BJ85,0)</f>
        <v>0</v>
      </c>
      <c r="AI85" s="37"/>
      <c r="AJ85" s="28">
        <f>IF(AN85=0,L85,0)</f>
        <v>0</v>
      </c>
      <c r="AK85" s="28">
        <f>IF(AN85=15,L85,0)</f>
        <v>0</v>
      </c>
      <c r="AL85" s="28">
        <f>IF(AN85=21,L85,0)</f>
        <v>0</v>
      </c>
      <c r="AN85" s="28">
        <v>21</v>
      </c>
      <c r="AO85" s="28">
        <f>I85*0.778028169014085</f>
        <v>0</v>
      </c>
      <c r="AP85" s="28">
        <f>I85*(1-0.778028169014085)</f>
        <v>0</v>
      </c>
      <c r="AQ85" s="53" t="s">
        <v>141</v>
      </c>
      <c r="AV85" s="28">
        <f>AW85+AX85</f>
        <v>0</v>
      </c>
      <c r="AW85" s="28">
        <f>H85*AO85</f>
        <v>0</v>
      </c>
      <c r="AX85" s="28">
        <f>H85*AP85</f>
        <v>0</v>
      </c>
      <c r="AY85" s="53" t="s">
        <v>258</v>
      </c>
      <c r="AZ85" s="53" t="s">
        <v>259</v>
      </c>
      <c r="BA85" s="37" t="s">
        <v>148</v>
      </c>
      <c r="BC85" s="28">
        <f>AW85+AX85</f>
        <v>0</v>
      </c>
      <c r="BD85" s="28">
        <f>I85/(100-BE85)*100</f>
        <v>0</v>
      </c>
      <c r="BE85" s="28">
        <v>0</v>
      </c>
      <c r="BF85" s="28">
        <f>85</f>
        <v>85</v>
      </c>
      <c r="BH85" s="28">
        <f>H85*AO85</f>
        <v>0</v>
      </c>
      <c r="BI85" s="28">
        <f>H85*AP85</f>
        <v>0</v>
      </c>
      <c r="BJ85" s="28">
        <f>H85*I85</f>
        <v>0</v>
      </c>
      <c r="BK85" s="28" t="s">
        <v>149</v>
      </c>
      <c r="BL85" s="28">
        <v>56</v>
      </c>
    </row>
    <row r="86" spans="1:64" x14ac:dyDescent="0.2">
      <c r="A86" s="3"/>
      <c r="C86" s="54" t="s">
        <v>274</v>
      </c>
      <c r="F86" s="54"/>
      <c r="H86" s="55">
        <v>316</v>
      </c>
      <c r="M86" s="17"/>
      <c r="N86" s="3"/>
    </row>
    <row r="87" spans="1:64" x14ac:dyDescent="0.2">
      <c r="A87" s="29" t="s">
        <v>275</v>
      </c>
      <c r="B87" s="4" t="s">
        <v>276</v>
      </c>
      <c r="C87" s="81" t="s">
        <v>263</v>
      </c>
      <c r="D87" s="81"/>
      <c r="E87" s="81"/>
      <c r="F87" s="81"/>
      <c r="G87" s="4" t="s">
        <v>144</v>
      </c>
      <c r="H87" s="28">
        <v>41</v>
      </c>
      <c r="I87" s="28">
        <v>0</v>
      </c>
      <c r="J87" s="28">
        <f>H87*AO87</f>
        <v>0</v>
      </c>
      <c r="K87" s="28">
        <f>H87*AP87</f>
        <v>0</v>
      </c>
      <c r="L87" s="28">
        <f>H87*I87</f>
        <v>0</v>
      </c>
      <c r="M87" s="52"/>
      <c r="N87" s="3"/>
      <c r="Z87" s="28">
        <f>IF(AQ87="5",BJ87,0)</f>
        <v>0</v>
      </c>
      <c r="AB87" s="28">
        <f>IF(AQ87="1",BH87,0)</f>
        <v>0</v>
      </c>
      <c r="AC87" s="28">
        <f>IF(AQ87="1",BI87,0)</f>
        <v>0</v>
      </c>
      <c r="AD87" s="28">
        <f>IF(AQ87="7",BH87,0)</f>
        <v>0</v>
      </c>
      <c r="AE87" s="28">
        <f>IF(AQ87="7",BI87,0)</f>
        <v>0</v>
      </c>
      <c r="AF87" s="28">
        <f>IF(AQ87="2",BH87,0)</f>
        <v>0</v>
      </c>
      <c r="AG87" s="28">
        <f>IF(AQ87="2",BI87,0)</f>
        <v>0</v>
      </c>
      <c r="AH87" s="28">
        <f>IF(AQ87="0",BJ87,0)</f>
        <v>0</v>
      </c>
      <c r="AI87" s="37"/>
      <c r="AJ87" s="28">
        <f>IF(AN87=0,L87,0)</f>
        <v>0</v>
      </c>
      <c r="AK87" s="28">
        <f>IF(AN87=15,L87,0)</f>
        <v>0</v>
      </c>
      <c r="AL87" s="28">
        <f>IF(AN87=21,L87,0)</f>
        <v>0</v>
      </c>
      <c r="AN87" s="28">
        <v>21</v>
      </c>
      <c r="AO87" s="28">
        <f>I87*0.862285714285713</f>
        <v>0</v>
      </c>
      <c r="AP87" s="28">
        <f>I87*(1-0.862285714285713)</f>
        <v>0</v>
      </c>
      <c r="AQ87" s="53" t="s">
        <v>141</v>
      </c>
      <c r="AV87" s="28">
        <f>AW87+AX87</f>
        <v>0</v>
      </c>
      <c r="AW87" s="28">
        <f>H87*AO87</f>
        <v>0</v>
      </c>
      <c r="AX87" s="28">
        <f>H87*AP87</f>
        <v>0</v>
      </c>
      <c r="AY87" s="53" t="s">
        <v>258</v>
      </c>
      <c r="AZ87" s="53" t="s">
        <v>259</v>
      </c>
      <c r="BA87" s="37" t="s">
        <v>148</v>
      </c>
      <c r="BC87" s="28">
        <f>AW87+AX87</f>
        <v>0</v>
      </c>
      <c r="BD87" s="28">
        <f>I87/(100-BE87)*100</f>
        <v>0</v>
      </c>
      <c r="BE87" s="28">
        <v>0</v>
      </c>
      <c r="BF87" s="28">
        <f>87</f>
        <v>87</v>
      </c>
      <c r="BH87" s="28">
        <f>H87*AO87</f>
        <v>0</v>
      </c>
      <c r="BI87" s="28">
        <f>H87*AP87</f>
        <v>0</v>
      </c>
      <c r="BJ87" s="28">
        <f>H87*I87</f>
        <v>0</v>
      </c>
      <c r="BK87" s="28" t="s">
        <v>149</v>
      </c>
      <c r="BL87" s="28">
        <v>56</v>
      </c>
    </row>
    <row r="88" spans="1:64" ht="12.75" customHeight="1" x14ac:dyDescent="0.2">
      <c r="A88" s="3"/>
      <c r="B88" s="56" t="s">
        <v>172</v>
      </c>
      <c r="C88" s="102" t="s">
        <v>277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3"/>
    </row>
    <row r="89" spans="1:64" x14ac:dyDescent="0.2">
      <c r="A89" s="3"/>
      <c r="C89" s="54" t="s">
        <v>278</v>
      </c>
      <c r="F89" s="54" t="s">
        <v>266</v>
      </c>
      <c r="H89" s="55">
        <v>41</v>
      </c>
      <c r="M89" s="17"/>
      <c r="N89" s="3"/>
    </row>
    <row r="90" spans="1:64" x14ac:dyDescent="0.2">
      <c r="A90" s="29" t="s">
        <v>279</v>
      </c>
      <c r="B90" s="4" t="s">
        <v>280</v>
      </c>
      <c r="C90" s="81" t="s">
        <v>281</v>
      </c>
      <c r="D90" s="81"/>
      <c r="E90" s="81"/>
      <c r="F90" s="81"/>
      <c r="G90" s="4" t="s">
        <v>144</v>
      </c>
      <c r="H90" s="28">
        <v>41</v>
      </c>
      <c r="I90" s="28">
        <v>0</v>
      </c>
      <c r="J90" s="28">
        <f>H90*AO90</f>
        <v>0</v>
      </c>
      <c r="K90" s="28">
        <f>H90*AP90</f>
        <v>0</v>
      </c>
      <c r="L90" s="28">
        <f>H90*I90</f>
        <v>0</v>
      </c>
      <c r="M90" s="52"/>
      <c r="N90" s="3"/>
      <c r="Z90" s="28">
        <f>IF(AQ90="5",BJ90,0)</f>
        <v>0</v>
      </c>
      <c r="AB90" s="28">
        <f>IF(AQ90="1",BH90,0)</f>
        <v>0</v>
      </c>
      <c r="AC90" s="28">
        <f>IF(AQ90="1",BI90,0)</f>
        <v>0</v>
      </c>
      <c r="AD90" s="28">
        <f>IF(AQ90="7",BH90,0)</f>
        <v>0</v>
      </c>
      <c r="AE90" s="28">
        <f>IF(AQ90="7",BI90,0)</f>
        <v>0</v>
      </c>
      <c r="AF90" s="28">
        <f>IF(AQ90="2",BH90,0)</f>
        <v>0</v>
      </c>
      <c r="AG90" s="28">
        <f>IF(AQ90="2",BI90,0)</f>
        <v>0</v>
      </c>
      <c r="AH90" s="28">
        <f>IF(AQ90="0",BJ90,0)</f>
        <v>0</v>
      </c>
      <c r="AI90" s="37"/>
      <c r="AJ90" s="28">
        <f>IF(AN90=0,L90,0)</f>
        <v>0</v>
      </c>
      <c r="AK90" s="28">
        <f>IF(AN90=15,L90,0)</f>
        <v>0</v>
      </c>
      <c r="AL90" s="28">
        <f>IF(AN90=21,L90,0)</f>
        <v>0</v>
      </c>
      <c r="AN90" s="28">
        <v>21</v>
      </c>
      <c r="AO90" s="28">
        <f>I90*0.783546798029556</f>
        <v>0</v>
      </c>
      <c r="AP90" s="28">
        <f>I90*(1-0.783546798029556)</f>
        <v>0</v>
      </c>
      <c r="AQ90" s="53" t="s">
        <v>141</v>
      </c>
      <c r="AV90" s="28">
        <f>AW90+AX90</f>
        <v>0</v>
      </c>
      <c r="AW90" s="28">
        <f>H90*AO90</f>
        <v>0</v>
      </c>
      <c r="AX90" s="28">
        <f>H90*AP90</f>
        <v>0</v>
      </c>
      <c r="AY90" s="53" t="s">
        <v>258</v>
      </c>
      <c r="AZ90" s="53" t="s">
        <v>259</v>
      </c>
      <c r="BA90" s="37" t="s">
        <v>148</v>
      </c>
      <c r="BC90" s="28">
        <f>AW90+AX90</f>
        <v>0</v>
      </c>
      <c r="BD90" s="28">
        <f>I90/(100-BE90)*100</f>
        <v>0</v>
      </c>
      <c r="BE90" s="28">
        <v>0</v>
      </c>
      <c r="BF90" s="28">
        <f>90</f>
        <v>90</v>
      </c>
      <c r="BH90" s="28">
        <f>H90*AO90</f>
        <v>0</v>
      </c>
      <c r="BI90" s="28">
        <f>H90*AP90</f>
        <v>0</v>
      </c>
      <c r="BJ90" s="28">
        <f>H90*I90</f>
        <v>0</v>
      </c>
      <c r="BK90" s="28" t="s">
        <v>149</v>
      </c>
      <c r="BL90" s="28">
        <v>56</v>
      </c>
    </row>
    <row r="91" spans="1:64" ht="12.75" customHeight="1" x14ac:dyDescent="0.2">
      <c r="A91" s="3"/>
      <c r="B91" s="56" t="s">
        <v>172</v>
      </c>
      <c r="C91" s="102" t="s">
        <v>282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3"/>
    </row>
    <row r="92" spans="1:64" x14ac:dyDescent="0.2">
      <c r="A92" s="3"/>
      <c r="C92" s="54" t="s">
        <v>278</v>
      </c>
      <c r="F92" s="54"/>
      <c r="H92" s="55">
        <v>41</v>
      </c>
      <c r="M92" s="17"/>
      <c r="N92" s="3"/>
    </row>
    <row r="93" spans="1:64" x14ac:dyDescent="0.2">
      <c r="A93" s="29" t="s">
        <v>283</v>
      </c>
      <c r="B93" s="4" t="s">
        <v>284</v>
      </c>
      <c r="C93" s="81" t="s">
        <v>285</v>
      </c>
      <c r="D93" s="81"/>
      <c r="E93" s="81"/>
      <c r="F93" s="81"/>
      <c r="G93" s="4" t="s">
        <v>144</v>
      </c>
      <c r="H93" s="28">
        <v>41</v>
      </c>
      <c r="I93" s="28">
        <v>0</v>
      </c>
      <c r="J93" s="28">
        <f>H93*AO93</f>
        <v>0</v>
      </c>
      <c r="K93" s="28">
        <f>H93*AP93</f>
        <v>0</v>
      </c>
      <c r="L93" s="28">
        <f>H93*I93</f>
        <v>0</v>
      </c>
      <c r="M93" s="52"/>
      <c r="N93" s="3"/>
      <c r="Z93" s="28">
        <f>IF(AQ93="5",BJ93,0)</f>
        <v>0</v>
      </c>
      <c r="AB93" s="28">
        <f>IF(AQ93="1",BH93,0)</f>
        <v>0</v>
      </c>
      <c r="AC93" s="28">
        <f>IF(AQ93="1",BI93,0)</f>
        <v>0</v>
      </c>
      <c r="AD93" s="28">
        <f>IF(AQ93="7",BH93,0)</f>
        <v>0</v>
      </c>
      <c r="AE93" s="28">
        <f>IF(AQ93="7",BI93,0)</f>
        <v>0</v>
      </c>
      <c r="AF93" s="28">
        <f>IF(AQ93="2",BH93,0)</f>
        <v>0</v>
      </c>
      <c r="AG93" s="28">
        <f>IF(AQ93="2",BI93,0)</f>
        <v>0</v>
      </c>
      <c r="AH93" s="28">
        <f>IF(AQ93="0",BJ93,0)</f>
        <v>0</v>
      </c>
      <c r="AI93" s="37"/>
      <c r="AJ93" s="28">
        <f>IF(AN93=0,L93,0)</f>
        <v>0</v>
      </c>
      <c r="AK93" s="28">
        <f>IF(AN93=15,L93,0)</f>
        <v>0</v>
      </c>
      <c r="AL93" s="28">
        <f>IF(AN93=21,L93,0)</f>
        <v>0</v>
      </c>
      <c r="AN93" s="28">
        <v>21</v>
      </c>
      <c r="AO93" s="28">
        <f>I93*0.533054393305439</f>
        <v>0</v>
      </c>
      <c r="AP93" s="28">
        <f>I93*(1-0.533054393305439)</f>
        <v>0</v>
      </c>
      <c r="AQ93" s="53" t="s">
        <v>141</v>
      </c>
      <c r="AV93" s="28">
        <f>AW93+AX93</f>
        <v>0</v>
      </c>
      <c r="AW93" s="28">
        <f>H93*AO93</f>
        <v>0</v>
      </c>
      <c r="AX93" s="28">
        <f>H93*AP93</f>
        <v>0</v>
      </c>
      <c r="AY93" s="53" t="s">
        <v>258</v>
      </c>
      <c r="AZ93" s="53" t="s">
        <v>259</v>
      </c>
      <c r="BA93" s="37" t="s">
        <v>148</v>
      </c>
      <c r="BC93" s="28">
        <f>AW93+AX93</f>
        <v>0</v>
      </c>
      <c r="BD93" s="28">
        <f>I93/(100-BE93)*100</f>
        <v>0</v>
      </c>
      <c r="BE93" s="28">
        <v>0</v>
      </c>
      <c r="BF93" s="28">
        <f>93</f>
        <v>93</v>
      </c>
      <c r="BH93" s="28">
        <f>H93*AO93</f>
        <v>0</v>
      </c>
      <c r="BI93" s="28">
        <f>H93*AP93</f>
        <v>0</v>
      </c>
      <c r="BJ93" s="28">
        <f>H93*I93</f>
        <v>0</v>
      </c>
      <c r="BK93" s="28" t="s">
        <v>149</v>
      </c>
      <c r="BL93" s="28">
        <v>56</v>
      </c>
    </row>
    <row r="94" spans="1:64" ht="12.75" customHeight="1" x14ac:dyDescent="0.2">
      <c r="A94" s="3"/>
      <c r="B94" s="56" t="s">
        <v>172</v>
      </c>
      <c r="C94" s="102" t="s">
        <v>286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3"/>
    </row>
    <row r="95" spans="1:64" x14ac:dyDescent="0.2">
      <c r="A95" s="3"/>
      <c r="C95" s="54" t="s">
        <v>278</v>
      </c>
      <c r="F95" s="54"/>
      <c r="H95" s="55">
        <v>41</v>
      </c>
      <c r="M95" s="17"/>
      <c r="N95" s="3"/>
    </row>
    <row r="96" spans="1:64" x14ac:dyDescent="0.2">
      <c r="A96" s="29" t="s">
        <v>287</v>
      </c>
      <c r="B96" s="4" t="s">
        <v>288</v>
      </c>
      <c r="C96" s="81" t="s">
        <v>289</v>
      </c>
      <c r="D96" s="81"/>
      <c r="E96" s="81"/>
      <c r="F96" s="81"/>
      <c r="G96" s="4" t="s">
        <v>144</v>
      </c>
      <c r="H96" s="28">
        <v>84</v>
      </c>
      <c r="I96" s="28">
        <v>0</v>
      </c>
      <c r="J96" s="28">
        <f>H96*AO96</f>
        <v>0</v>
      </c>
      <c r="K96" s="28">
        <f>H96*AP96</f>
        <v>0</v>
      </c>
      <c r="L96" s="28">
        <f>H96*I96</f>
        <v>0</v>
      </c>
      <c r="M96" s="52" t="s">
        <v>145</v>
      </c>
      <c r="N96" s="3"/>
      <c r="Z96" s="28">
        <f>IF(AQ96="5",BJ96,0)</f>
        <v>0</v>
      </c>
      <c r="AB96" s="28">
        <f>IF(AQ96="1",BH96,0)</f>
        <v>0</v>
      </c>
      <c r="AC96" s="28">
        <f>IF(AQ96="1",BI96,0)</f>
        <v>0</v>
      </c>
      <c r="AD96" s="28">
        <f>IF(AQ96="7",BH96,0)</f>
        <v>0</v>
      </c>
      <c r="AE96" s="28">
        <f>IF(AQ96="7",BI96,0)</f>
        <v>0</v>
      </c>
      <c r="AF96" s="28">
        <f>IF(AQ96="2",BH96,0)</f>
        <v>0</v>
      </c>
      <c r="AG96" s="28">
        <f>IF(AQ96="2",BI96,0)</f>
        <v>0</v>
      </c>
      <c r="AH96" s="28">
        <f>IF(AQ96="0",BJ96,0)</f>
        <v>0</v>
      </c>
      <c r="AI96" s="37"/>
      <c r="AJ96" s="28">
        <f>IF(AN96=0,L96,0)</f>
        <v>0</v>
      </c>
      <c r="AK96" s="28">
        <f>IF(AN96=15,L96,0)</f>
        <v>0</v>
      </c>
      <c r="AL96" s="28">
        <f>IF(AN96=21,L96,0)</f>
        <v>0</v>
      </c>
      <c r="AN96" s="28">
        <v>21</v>
      </c>
      <c r="AO96" s="28">
        <f>I96*0.854802784222738</f>
        <v>0</v>
      </c>
      <c r="AP96" s="28">
        <f>I96*(1-0.854802784222738)</f>
        <v>0</v>
      </c>
      <c r="AQ96" s="53" t="s">
        <v>141</v>
      </c>
      <c r="AV96" s="28">
        <f>AW96+AX96</f>
        <v>0</v>
      </c>
      <c r="AW96" s="28">
        <f>H96*AO96</f>
        <v>0</v>
      </c>
      <c r="AX96" s="28">
        <f>H96*AP96</f>
        <v>0</v>
      </c>
      <c r="AY96" s="53" t="s">
        <v>258</v>
      </c>
      <c r="AZ96" s="53" t="s">
        <v>259</v>
      </c>
      <c r="BA96" s="37" t="s">
        <v>148</v>
      </c>
      <c r="BC96" s="28">
        <f>AW96+AX96</f>
        <v>0</v>
      </c>
      <c r="BD96" s="28">
        <f>I96/(100-BE96)*100</f>
        <v>0</v>
      </c>
      <c r="BE96" s="28">
        <v>0</v>
      </c>
      <c r="BF96" s="28">
        <f>96</f>
        <v>96</v>
      </c>
      <c r="BH96" s="28">
        <f>H96*AO96</f>
        <v>0</v>
      </c>
      <c r="BI96" s="28">
        <f>H96*AP96</f>
        <v>0</v>
      </c>
      <c r="BJ96" s="28">
        <f>H96*I96</f>
        <v>0</v>
      </c>
      <c r="BK96" s="28" t="s">
        <v>149</v>
      </c>
      <c r="BL96" s="28">
        <v>56</v>
      </c>
    </row>
    <row r="97" spans="1:64" ht="12.75" customHeight="1" x14ac:dyDescent="0.2">
      <c r="A97" s="3"/>
      <c r="B97" s="56" t="s">
        <v>172</v>
      </c>
      <c r="C97" s="102" t="s">
        <v>264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3"/>
    </row>
    <row r="98" spans="1:64" x14ac:dyDescent="0.2">
      <c r="A98" s="3"/>
      <c r="C98" s="54" t="s">
        <v>290</v>
      </c>
      <c r="F98" s="54"/>
      <c r="H98" s="55">
        <v>84</v>
      </c>
      <c r="M98" s="17"/>
      <c r="N98" s="3"/>
    </row>
    <row r="99" spans="1:64" x14ac:dyDescent="0.2">
      <c r="A99" s="57"/>
      <c r="B99" s="58" t="s">
        <v>92</v>
      </c>
      <c r="C99" s="101" t="s">
        <v>93</v>
      </c>
      <c r="D99" s="101"/>
      <c r="E99" s="101"/>
      <c r="F99" s="101"/>
      <c r="G99" s="59" t="s">
        <v>61</v>
      </c>
      <c r="H99" s="59" t="s">
        <v>61</v>
      </c>
      <c r="I99" s="59" t="s">
        <v>61</v>
      </c>
      <c r="J99" s="51">
        <f>SUM(J100:J106)</f>
        <v>0</v>
      </c>
      <c r="K99" s="51">
        <f>SUM(K100:K106)</f>
        <v>0</v>
      </c>
      <c r="L99" s="51">
        <f>SUM(L100:L106)</f>
        <v>0</v>
      </c>
      <c r="M99" s="60"/>
      <c r="N99" s="3"/>
      <c r="AI99" s="37"/>
      <c r="AS99" s="51">
        <f>SUM(AJ100:AJ106)</f>
        <v>0</v>
      </c>
      <c r="AT99" s="51">
        <f>SUM(AK100:AK106)</f>
        <v>0</v>
      </c>
      <c r="AU99" s="51">
        <f>SUM(AL100:AL106)</f>
        <v>0</v>
      </c>
    </row>
    <row r="100" spans="1:64" x14ac:dyDescent="0.2">
      <c r="A100" s="29" t="s">
        <v>291</v>
      </c>
      <c r="B100" s="4" t="s">
        <v>292</v>
      </c>
      <c r="C100" s="81" t="s">
        <v>293</v>
      </c>
      <c r="D100" s="81"/>
      <c r="E100" s="81"/>
      <c r="F100" s="81"/>
      <c r="G100" s="4" t="s">
        <v>144</v>
      </c>
      <c r="H100" s="28">
        <v>307</v>
      </c>
      <c r="I100" s="28">
        <v>0</v>
      </c>
      <c r="J100" s="28">
        <f>H100*AO100</f>
        <v>0</v>
      </c>
      <c r="K100" s="28">
        <f>H100*AP100</f>
        <v>0</v>
      </c>
      <c r="L100" s="28">
        <f>H100*I100</f>
        <v>0</v>
      </c>
      <c r="M100" s="52" t="s">
        <v>145</v>
      </c>
      <c r="N100" s="3"/>
      <c r="Z100" s="28">
        <f>IF(AQ100="5",BJ100,0)</f>
        <v>0</v>
      </c>
      <c r="AB100" s="28">
        <f>IF(AQ100="1",BH100,0)</f>
        <v>0</v>
      </c>
      <c r="AC100" s="28">
        <f>IF(AQ100="1",BI100,0)</f>
        <v>0</v>
      </c>
      <c r="AD100" s="28">
        <f>IF(AQ100="7",BH100,0)</f>
        <v>0</v>
      </c>
      <c r="AE100" s="28">
        <f>IF(AQ100="7",BI100,0)</f>
        <v>0</v>
      </c>
      <c r="AF100" s="28">
        <f>IF(AQ100="2",BH100,0)</f>
        <v>0</v>
      </c>
      <c r="AG100" s="28">
        <f>IF(AQ100="2",BI100,0)</f>
        <v>0</v>
      </c>
      <c r="AH100" s="28">
        <f>IF(AQ100="0",BJ100,0)</f>
        <v>0</v>
      </c>
      <c r="AI100" s="37"/>
      <c r="AJ100" s="28">
        <f>IF(AN100=0,L100,0)</f>
        <v>0</v>
      </c>
      <c r="AK100" s="28">
        <f>IF(AN100=15,L100,0)</f>
        <v>0</v>
      </c>
      <c r="AL100" s="28">
        <f>IF(AN100=21,L100,0)</f>
        <v>0</v>
      </c>
      <c r="AN100" s="28">
        <v>21</v>
      </c>
      <c r="AO100" s="28">
        <f>I100*0.740218110867217</f>
        <v>0</v>
      </c>
      <c r="AP100" s="28">
        <f>I100*(1-0.740218110867217)</f>
        <v>0</v>
      </c>
      <c r="AQ100" s="53" t="s">
        <v>141</v>
      </c>
      <c r="AV100" s="28">
        <f>AW100+AX100</f>
        <v>0</v>
      </c>
      <c r="AW100" s="28">
        <f>H100*AO100</f>
        <v>0</v>
      </c>
      <c r="AX100" s="28">
        <f>H100*AP100</f>
        <v>0</v>
      </c>
      <c r="AY100" s="53" t="s">
        <v>294</v>
      </c>
      <c r="AZ100" s="53" t="s">
        <v>259</v>
      </c>
      <c r="BA100" s="37" t="s">
        <v>148</v>
      </c>
      <c r="BC100" s="28">
        <f>AW100+AX100</f>
        <v>0</v>
      </c>
      <c r="BD100" s="28">
        <f>I100/(100-BE100)*100</f>
        <v>0</v>
      </c>
      <c r="BE100" s="28">
        <v>0</v>
      </c>
      <c r="BF100" s="28">
        <f>100</f>
        <v>100</v>
      </c>
      <c r="BH100" s="28">
        <f>H100*AO100</f>
        <v>0</v>
      </c>
      <c r="BI100" s="28">
        <f>H100*AP100</f>
        <v>0</v>
      </c>
      <c r="BJ100" s="28">
        <f>H100*I100</f>
        <v>0</v>
      </c>
      <c r="BK100" s="28" t="s">
        <v>149</v>
      </c>
      <c r="BL100" s="28">
        <v>57</v>
      </c>
    </row>
    <row r="101" spans="1:64" x14ac:dyDescent="0.2">
      <c r="A101" s="3"/>
      <c r="C101" s="54" t="s">
        <v>260</v>
      </c>
      <c r="F101" s="54"/>
      <c r="H101" s="55">
        <v>307</v>
      </c>
      <c r="M101" s="17"/>
      <c r="N101" s="3"/>
    </row>
    <row r="102" spans="1:64" x14ac:dyDescent="0.2">
      <c r="A102" s="29" t="s">
        <v>295</v>
      </c>
      <c r="B102" s="4" t="s">
        <v>296</v>
      </c>
      <c r="C102" s="81" t="s">
        <v>297</v>
      </c>
      <c r="D102" s="81"/>
      <c r="E102" s="81"/>
      <c r="F102" s="81"/>
      <c r="G102" s="4" t="s">
        <v>144</v>
      </c>
      <c r="H102" s="28">
        <v>614</v>
      </c>
      <c r="I102" s="28">
        <v>0</v>
      </c>
      <c r="J102" s="28">
        <f>H102*AO102</f>
        <v>0</v>
      </c>
      <c r="K102" s="28">
        <f>H102*AP102</f>
        <v>0</v>
      </c>
      <c r="L102" s="28">
        <f>H102*I102</f>
        <v>0</v>
      </c>
      <c r="M102" s="52" t="s">
        <v>145</v>
      </c>
      <c r="N102" s="3"/>
      <c r="Z102" s="28">
        <f>IF(AQ102="5",BJ102,0)</f>
        <v>0</v>
      </c>
      <c r="AB102" s="28">
        <f>IF(AQ102="1",BH102,0)</f>
        <v>0</v>
      </c>
      <c r="AC102" s="28">
        <f>IF(AQ102="1",BI102,0)</f>
        <v>0</v>
      </c>
      <c r="AD102" s="28">
        <f>IF(AQ102="7",BH102,0)</f>
        <v>0</v>
      </c>
      <c r="AE102" s="28">
        <f>IF(AQ102="7",BI102,0)</f>
        <v>0</v>
      </c>
      <c r="AF102" s="28">
        <f>IF(AQ102="2",BH102,0)</f>
        <v>0</v>
      </c>
      <c r="AG102" s="28">
        <f>IF(AQ102="2",BI102,0)</f>
        <v>0</v>
      </c>
      <c r="AH102" s="28">
        <f>IF(AQ102="0",BJ102,0)</f>
        <v>0</v>
      </c>
      <c r="AI102" s="37"/>
      <c r="AJ102" s="28">
        <f>IF(AN102=0,L102,0)</f>
        <v>0</v>
      </c>
      <c r="AK102" s="28">
        <f>IF(AN102=15,L102,0)</f>
        <v>0</v>
      </c>
      <c r="AL102" s="28">
        <f>IF(AN102=21,L102,0)</f>
        <v>0</v>
      </c>
      <c r="AN102" s="28">
        <v>21</v>
      </c>
      <c r="AO102" s="28">
        <f>I102*0.855054811205847</f>
        <v>0</v>
      </c>
      <c r="AP102" s="28">
        <f>I102*(1-0.855054811205847)</f>
        <v>0</v>
      </c>
      <c r="AQ102" s="53" t="s">
        <v>141</v>
      </c>
      <c r="AV102" s="28">
        <f>AW102+AX102</f>
        <v>0</v>
      </c>
      <c r="AW102" s="28">
        <f>H102*AO102</f>
        <v>0</v>
      </c>
      <c r="AX102" s="28">
        <f>H102*AP102</f>
        <v>0</v>
      </c>
      <c r="AY102" s="53" t="s">
        <v>294</v>
      </c>
      <c r="AZ102" s="53" t="s">
        <v>259</v>
      </c>
      <c r="BA102" s="37" t="s">
        <v>148</v>
      </c>
      <c r="BC102" s="28">
        <f>AW102+AX102</f>
        <v>0</v>
      </c>
      <c r="BD102" s="28">
        <f>I102/(100-BE102)*100</f>
        <v>0</v>
      </c>
      <c r="BE102" s="28">
        <v>0</v>
      </c>
      <c r="BF102" s="28">
        <f>102</f>
        <v>102</v>
      </c>
      <c r="BH102" s="28">
        <f>H102*AO102</f>
        <v>0</v>
      </c>
      <c r="BI102" s="28">
        <f>H102*AP102</f>
        <v>0</v>
      </c>
      <c r="BJ102" s="28">
        <f>H102*I102</f>
        <v>0</v>
      </c>
      <c r="BK102" s="28" t="s">
        <v>149</v>
      </c>
      <c r="BL102" s="28">
        <v>57</v>
      </c>
    </row>
    <row r="103" spans="1:64" x14ac:dyDescent="0.2">
      <c r="A103" s="3"/>
      <c r="C103" s="54" t="s">
        <v>298</v>
      </c>
      <c r="F103" s="54"/>
      <c r="H103" s="55">
        <v>614</v>
      </c>
      <c r="M103" s="17"/>
      <c r="N103" s="3"/>
    </row>
    <row r="104" spans="1:64" x14ac:dyDescent="0.2">
      <c r="A104" s="29" t="s">
        <v>165</v>
      </c>
      <c r="B104" s="4" t="s">
        <v>299</v>
      </c>
      <c r="C104" s="81" t="s">
        <v>300</v>
      </c>
      <c r="D104" s="81"/>
      <c r="E104" s="81"/>
      <c r="F104" s="81"/>
      <c r="G104" s="4" t="s">
        <v>144</v>
      </c>
      <c r="H104" s="28">
        <v>768</v>
      </c>
      <c r="I104" s="28">
        <v>0</v>
      </c>
      <c r="J104" s="28">
        <f>H104*AO104</f>
        <v>0</v>
      </c>
      <c r="K104" s="28">
        <f>H104*AP104</f>
        <v>0</v>
      </c>
      <c r="L104" s="28">
        <f>H104*I104</f>
        <v>0</v>
      </c>
      <c r="M104" s="52" t="s">
        <v>145</v>
      </c>
      <c r="N104" s="3"/>
      <c r="Z104" s="28">
        <f>IF(AQ104="5",BJ104,0)</f>
        <v>0</v>
      </c>
      <c r="AB104" s="28">
        <f>IF(AQ104="1",BH104,0)</f>
        <v>0</v>
      </c>
      <c r="AC104" s="28">
        <f>IF(AQ104="1",BI104,0)</f>
        <v>0</v>
      </c>
      <c r="AD104" s="28">
        <f>IF(AQ104="7",BH104,0)</f>
        <v>0</v>
      </c>
      <c r="AE104" s="28">
        <f>IF(AQ104="7",BI104,0)</f>
        <v>0</v>
      </c>
      <c r="AF104" s="28">
        <f>IF(AQ104="2",BH104,0)</f>
        <v>0</v>
      </c>
      <c r="AG104" s="28">
        <f>IF(AQ104="2",BI104,0)</f>
        <v>0</v>
      </c>
      <c r="AH104" s="28">
        <f>IF(AQ104="0",BJ104,0)</f>
        <v>0</v>
      </c>
      <c r="AI104" s="37"/>
      <c r="AJ104" s="28">
        <f>IF(AN104=0,L104,0)</f>
        <v>0</v>
      </c>
      <c r="AK104" s="28">
        <f>IF(AN104=15,L104,0)</f>
        <v>0</v>
      </c>
      <c r="AL104" s="28">
        <f>IF(AN104=21,L104,0)</f>
        <v>0</v>
      </c>
      <c r="AN104" s="28">
        <v>21</v>
      </c>
      <c r="AO104" s="28">
        <f>I104*0.853598130841121</f>
        <v>0</v>
      </c>
      <c r="AP104" s="28">
        <f>I104*(1-0.853598130841121)</f>
        <v>0</v>
      </c>
      <c r="AQ104" s="53" t="s">
        <v>141</v>
      </c>
      <c r="AV104" s="28">
        <f>AW104+AX104</f>
        <v>0</v>
      </c>
      <c r="AW104" s="28">
        <f>H104*AO104</f>
        <v>0</v>
      </c>
      <c r="AX104" s="28">
        <f>H104*AP104</f>
        <v>0</v>
      </c>
      <c r="AY104" s="53" t="s">
        <v>294</v>
      </c>
      <c r="AZ104" s="53" t="s">
        <v>259</v>
      </c>
      <c r="BA104" s="37" t="s">
        <v>148</v>
      </c>
      <c r="BC104" s="28">
        <f>AW104+AX104</f>
        <v>0</v>
      </c>
      <c r="BD104" s="28">
        <f>I104/(100-BE104)*100</f>
        <v>0</v>
      </c>
      <c r="BE104" s="28">
        <v>0</v>
      </c>
      <c r="BF104" s="28">
        <f>104</f>
        <v>104</v>
      </c>
      <c r="BH104" s="28">
        <f>H104*AO104</f>
        <v>0</v>
      </c>
      <c r="BI104" s="28">
        <f>H104*AP104</f>
        <v>0</v>
      </c>
      <c r="BJ104" s="28">
        <f>H104*I104</f>
        <v>0</v>
      </c>
      <c r="BK104" s="28" t="s">
        <v>149</v>
      </c>
      <c r="BL104" s="28">
        <v>57</v>
      </c>
    </row>
    <row r="105" spans="1:64" x14ac:dyDescent="0.2">
      <c r="A105" s="3"/>
      <c r="C105" s="54" t="s">
        <v>301</v>
      </c>
      <c r="F105" s="54"/>
      <c r="H105" s="55">
        <v>768</v>
      </c>
      <c r="M105" s="17"/>
      <c r="N105" s="3"/>
    </row>
    <row r="106" spans="1:64" x14ac:dyDescent="0.2">
      <c r="A106" s="29" t="s">
        <v>302</v>
      </c>
      <c r="B106" s="4" t="s">
        <v>303</v>
      </c>
      <c r="C106" s="81" t="s">
        <v>304</v>
      </c>
      <c r="D106" s="81"/>
      <c r="E106" s="81"/>
      <c r="F106" s="81"/>
      <c r="G106" s="4" t="s">
        <v>144</v>
      </c>
      <c r="H106" s="28">
        <v>768</v>
      </c>
      <c r="I106" s="28">
        <v>0</v>
      </c>
      <c r="J106" s="28">
        <f>H106*AO106</f>
        <v>0</v>
      </c>
      <c r="K106" s="28">
        <f>H106*AP106</f>
        <v>0</v>
      </c>
      <c r="L106" s="28">
        <f>H106*I106</f>
        <v>0</v>
      </c>
      <c r="M106" s="52" t="s">
        <v>145</v>
      </c>
      <c r="N106" s="3"/>
      <c r="Z106" s="28">
        <f>IF(AQ106="5",BJ106,0)</f>
        <v>0</v>
      </c>
      <c r="AB106" s="28">
        <f>IF(AQ106="1",BH106,0)</f>
        <v>0</v>
      </c>
      <c r="AC106" s="28">
        <f>IF(AQ106="1",BI106,0)</f>
        <v>0</v>
      </c>
      <c r="AD106" s="28">
        <f>IF(AQ106="7",BH106,0)</f>
        <v>0</v>
      </c>
      <c r="AE106" s="28">
        <f>IF(AQ106="7",BI106,0)</f>
        <v>0</v>
      </c>
      <c r="AF106" s="28">
        <f>IF(AQ106="2",BH106,0)</f>
        <v>0</v>
      </c>
      <c r="AG106" s="28">
        <f>IF(AQ106="2",BI106,0)</f>
        <v>0</v>
      </c>
      <c r="AH106" s="28">
        <f>IF(AQ106="0",BJ106,0)</f>
        <v>0</v>
      </c>
      <c r="AI106" s="37"/>
      <c r="AJ106" s="28">
        <f>IF(AN106=0,L106,0)</f>
        <v>0</v>
      </c>
      <c r="AK106" s="28">
        <f>IF(AN106=15,L106,0)</f>
        <v>0</v>
      </c>
      <c r="AL106" s="28">
        <f>IF(AN106=21,L106,0)</f>
        <v>0</v>
      </c>
      <c r="AN106" s="28">
        <v>21</v>
      </c>
      <c r="AO106" s="28">
        <f>I106*0.819281394521523</f>
        <v>0</v>
      </c>
      <c r="AP106" s="28">
        <f>I106*(1-0.819281394521523)</f>
        <v>0</v>
      </c>
      <c r="AQ106" s="53" t="s">
        <v>141</v>
      </c>
      <c r="AV106" s="28">
        <f>AW106+AX106</f>
        <v>0</v>
      </c>
      <c r="AW106" s="28">
        <f>H106*AO106</f>
        <v>0</v>
      </c>
      <c r="AX106" s="28">
        <f>H106*AP106</f>
        <v>0</v>
      </c>
      <c r="AY106" s="53" t="s">
        <v>294</v>
      </c>
      <c r="AZ106" s="53" t="s">
        <v>259</v>
      </c>
      <c r="BA106" s="37" t="s">
        <v>148</v>
      </c>
      <c r="BC106" s="28">
        <f>AW106+AX106</f>
        <v>0</v>
      </c>
      <c r="BD106" s="28">
        <f>I106/(100-BE106)*100</f>
        <v>0</v>
      </c>
      <c r="BE106" s="28">
        <v>0</v>
      </c>
      <c r="BF106" s="28">
        <f>106</f>
        <v>106</v>
      </c>
      <c r="BH106" s="28">
        <f>H106*AO106</f>
        <v>0</v>
      </c>
      <c r="BI106" s="28">
        <f>H106*AP106</f>
        <v>0</v>
      </c>
      <c r="BJ106" s="28">
        <f>H106*I106</f>
        <v>0</v>
      </c>
      <c r="BK106" s="28" t="s">
        <v>149</v>
      </c>
      <c r="BL106" s="28">
        <v>57</v>
      </c>
    </row>
    <row r="107" spans="1:64" x14ac:dyDescent="0.2">
      <c r="A107" s="3"/>
      <c r="C107" s="54" t="s">
        <v>301</v>
      </c>
      <c r="F107" s="54"/>
      <c r="H107" s="55">
        <v>768</v>
      </c>
      <c r="M107" s="17"/>
      <c r="N107" s="3"/>
    </row>
    <row r="108" spans="1:64" x14ac:dyDescent="0.2">
      <c r="A108" s="57"/>
      <c r="B108" s="58" t="s">
        <v>94</v>
      </c>
      <c r="C108" s="101" t="s">
        <v>95</v>
      </c>
      <c r="D108" s="101"/>
      <c r="E108" s="101"/>
      <c r="F108" s="101"/>
      <c r="G108" s="59" t="s">
        <v>61</v>
      </c>
      <c r="H108" s="59" t="s">
        <v>61</v>
      </c>
      <c r="I108" s="59" t="s">
        <v>61</v>
      </c>
      <c r="J108" s="51">
        <f>SUM(J109:J131)</f>
        <v>0</v>
      </c>
      <c r="K108" s="51">
        <f>SUM(K109:K131)</f>
        <v>0</v>
      </c>
      <c r="L108" s="51">
        <f>SUM(L109:L131)</f>
        <v>0</v>
      </c>
      <c r="M108" s="60"/>
      <c r="N108" s="3"/>
      <c r="AI108" s="37"/>
      <c r="AS108" s="51">
        <f>SUM(AJ109:AJ131)</f>
        <v>0</v>
      </c>
      <c r="AT108" s="51">
        <f>SUM(AK109:AK131)</f>
        <v>0</v>
      </c>
      <c r="AU108" s="51">
        <f>SUM(AL109:AL131)</f>
        <v>0</v>
      </c>
    </row>
    <row r="109" spans="1:64" x14ac:dyDescent="0.2">
      <c r="A109" s="29" t="s">
        <v>305</v>
      </c>
      <c r="B109" s="4" t="s">
        <v>306</v>
      </c>
      <c r="C109" s="81" t="s">
        <v>307</v>
      </c>
      <c r="D109" s="81"/>
      <c r="E109" s="81"/>
      <c r="F109" s="81"/>
      <c r="G109" s="4" t="s">
        <v>164</v>
      </c>
      <c r="H109" s="28">
        <v>7</v>
      </c>
      <c r="I109" s="28">
        <v>0</v>
      </c>
      <c r="J109" s="28">
        <f>H109*AO109</f>
        <v>0</v>
      </c>
      <c r="K109" s="28">
        <f>H109*AP109</f>
        <v>0</v>
      </c>
      <c r="L109" s="28">
        <f>H109*I109</f>
        <v>0</v>
      </c>
      <c r="M109" s="52" t="s">
        <v>145</v>
      </c>
      <c r="N109" s="3"/>
      <c r="Z109" s="28">
        <f>IF(AQ109="5",BJ109,0)</f>
        <v>0</v>
      </c>
      <c r="AB109" s="28">
        <f>IF(AQ109="1",BH109,0)</f>
        <v>0</v>
      </c>
      <c r="AC109" s="28">
        <f>IF(AQ109="1",BI109,0)</f>
        <v>0</v>
      </c>
      <c r="AD109" s="28">
        <f>IF(AQ109="7",BH109,0)</f>
        <v>0</v>
      </c>
      <c r="AE109" s="28">
        <f>IF(AQ109="7",BI109,0)</f>
        <v>0</v>
      </c>
      <c r="AF109" s="28">
        <f>IF(AQ109="2",BH109,0)</f>
        <v>0</v>
      </c>
      <c r="AG109" s="28">
        <f>IF(AQ109="2",BI109,0)</f>
        <v>0</v>
      </c>
      <c r="AH109" s="28">
        <f>IF(AQ109="0",BJ109,0)</f>
        <v>0</v>
      </c>
      <c r="AI109" s="37"/>
      <c r="AJ109" s="28">
        <f>IF(AN109=0,L109,0)</f>
        <v>0</v>
      </c>
      <c r="AK109" s="28">
        <f>IF(AN109=15,L109,0)</f>
        <v>0</v>
      </c>
      <c r="AL109" s="28">
        <f>IF(AN109=21,L109,0)</f>
        <v>0</v>
      </c>
      <c r="AN109" s="28">
        <v>21</v>
      </c>
      <c r="AO109" s="28">
        <f>I109*0.479778911564625</f>
        <v>0</v>
      </c>
      <c r="AP109" s="28">
        <f>I109*(1-0.479778911564625)</f>
        <v>0</v>
      </c>
      <c r="AQ109" s="53" t="s">
        <v>141</v>
      </c>
      <c r="AV109" s="28">
        <f>AW109+AX109</f>
        <v>0</v>
      </c>
      <c r="AW109" s="28">
        <f>H109*AO109</f>
        <v>0</v>
      </c>
      <c r="AX109" s="28">
        <f>H109*AP109</f>
        <v>0</v>
      </c>
      <c r="AY109" s="53" t="s">
        <v>308</v>
      </c>
      <c r="AZ109" s="53" t="s">
        <v>259</v>
      </c>
      <c r="BA109" s="37" t="s">
        <v>148</v>
      </c>
      <c r="BC109" s="28">
        <f>AW109+AX109</f>
        <v>0</v>
      </c>
      <c r="BD109" s="28">
        <f>I109/(100-BE109)*100</f>
        <v>0</v>
      </c>
      <c r="BE109" s="28">
        <v>0</v>
      </c>
      <c r="BF109" s="28">
        <f>109</f>
        <v>109</v>
      </c>
      <c r="BH109" s="28">
        <f>H109*AO109</f>
        <v>0</v>
      </c>
      <c r="BI109" s="28">
        <f>H109*AP109</f>
        <v>0</v>
      </c>
      <c r="BJ109" s="28">
        <f>H109*I109</f>
        <v>0</v>
      </c>
      <c r="BK109" s="28" t="s">
        <v>149</v>
      </c>
      <c r="BL109" s="28">
        <v>59</v>
      </c>
    </row>
    <row r="110" spans="1:64" ht="12.75" customHeight="1" x14ac:dyDescent="0.2">
      <c r="A110" s="3"/>
      <c r="B110" s="56" t="s">
        <v>172</v>
      </c>
      <c r="C110" s="102" t="s">
        <v>309</v>
      </c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3"/>
    </row>
    <row r="111" spans="1:64" x14ac:dyDescent="0.2">
      <c r="A111" s="3"/>
      <c r="C111" s="54" t="s">
        <v>310</v>
      </c>
      <c r="F111" s="54"/>
      <c r="H111" s="55">
        <v>7</v>
      </c>
      <c r="M111" s="17"/>
      <c r="N111" s="3"/>
    </row>
    <row r="112" spans="1:64" ht="25.7" customHeight="1" x14ac:dyDescent="0.2">
      <c r="A112" s="3"/>
      <c r="B112" s="56" t="s">
        <v>151</v>
      </c>
      <c r="C112" s="99" t="s">
        <v>311</v>
      </c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3"/>
    </row>
    <row r="113" spans="1:64" x14ac:dyDescent="0.2">
      <c r="A113" s="29" t="s">
        <v>312</v>
      </c>
      <c r="B113" s="4" t="s">
        <v>313</v>
      </c>
      <c r="C113" s="81" t="s">
        <v>314</v>
      </c>
      <c r="D113" s="81"/>
      <c r="E113" s="81"/>
      <c r="F113" s="81"/>
      <c r="G113" s="4" t="s">
        <v>315</v>
      </c>
      <c r="H113" s="28">
        <v>7</v>
      </c>
      <c r="I113" s="28">
        <v>0</v>
      </c>
      <c r="J113" s="28">
        <f>H113*AO113</f>
        <v>0</v>
      </c>
      <c r="K113" s="28">
        <f>H113*AP113</f>
        <v>0</v>
      </c>
      <c r="L113" s="28">
        <f>H113*I113</f>
        <v>0</v>
      </c>
      <c r="M113" s="52" t="s">
        <v>145</v>
      </c>
      <c r="N113" s="3"/>
      <c r="Z113" s="28">
        <f>IF(AQ113="5",BJ113,0)</f>
        <v>0</v>
      </c>
      <c r="AB113" s="28">
        <f>IF(AQ113="1",BH113,0)</f>
        <v>0</v>
      </c>
      <c r="AC113" s="28">
        <f>IF(AQ113="1",BI113,0)</f>
        <v>0</v>
      </c>
      <c r="AD113" s="28">
        <f>IF(AQ113="7",BH113,0)</f>
        <v>0</v>
      </c>
      <c r="AE113" s="28">
        <f>IF(AQ113="7",BI113,0)</f>
        <v>0</v>
      </c>
      <c r="AF113" s="28">
        <f>IF(AQ113="2",BH113,0)</f>
        <v>0</v>
      </c>
      <c r="AG113" s="28">
        <f>IF(AQ113="2",BI113,0)</f>
        <v>0</v>
      </c>
      <c r="AH113" s="28">
        <f>IF(AQ113="0",BJ113,0)</f>
        <v>0</v>
      </c>
      <c r="AI113" s="37"/>
      <c r="AJ113" s="28">
        <f>IF(AN113=0,L113,0)</f>
        <v>0</v>
      </c>
      <c r="AK113" s="28">
        <f>IF(AN113=15,L113,0)</f>
        <v>0</v>
      </c>
      <c r="AL113" s="28">
        <f>IF(AN113=21,L113,0)</f>
        <v>0</v>
      </c>
      <c r="AN113" s="28">
        <v>21</v>
      </c>
      <c r="AO113" s="28">
        <f>I113*1</f>
        <v>0</v>
      </c>
      <c r="AP113" s="28">
        <f>I113*(1-1)</f>
        <v>0</v>
      </c>
      <c r="AQ113" s="53" t="s">
        <v>141</v>
      </c>
      <c r="AV113" s="28">
        <f>AW113+AX113</f>
        <v>0</v>
      </c>
      <c r="AW113" s="28">
        <f>H113*AO113</f>
        <v>0</v>
      </c>
      <c r="AX113" s="28">
        <f>H113*AP113</f>
        <v>0</v>
      </c>
      <c r="AY113" s="53" t="s">
        <v>308</v>
      </c>
      <c r="AZ113" s="53" t="s">
        <v>259</v>
      </c>
      <c r="BA113" s="37" t="s">
        <v>148</v>
      </c>
      <c r="BC113" s="28">
        <f>AW113+AX113</f>
        <v>0</v>
      </c>
      <c r="BD113" s="28">
        <f>I113/(100-BE113)*100</f>
        <v>0</v>
      </c>
      <c r="BE113" s="28">
        <v>0</v>
      </c>
      <c r="BF113" s="28">
        <f>113</f>
        <v>113</v>
      </c>
      <c r="BH113" s="28">
        <f>H113*AO113</f>
        <v>0</v>
      </c>
      <c r="BI113" s="28">
        <f>H113*AP113</f>
        <v>0</v>
      </c>
      <c r="BJ113" s="28">
        <f>H113*I113</f>
        <v>0</v>
      </c>
      <c r="BK113" s="28" t="s">
        <v>205</v>
      </c>
      <c r="BL113" s="28">
        <v>59</v>
      </c>
    </row>
    <row r="114" spans="1:64" x14ac:dyDescent="0.2">
      <c r="A114" s="3"/>
      <c r="C114" s="54" t="s">
        <v>310</v>
      </c>
      <c r="F114" s="54"/>
      <c r="H114" s="55">
        <v>7</v>
      </c>
      <c r="M114" s="17"/>
      <c r="N114" s="3"/>
    </row>
    <row r="115" spans="1:64" ht="25.7" customHeight="1" x14ac:dyDescent="0.2">
      <c r="A115" s="3"/>
      <c r="B115" s="56" t="s">
        <v>151</v>
      </c>
      <c r="C115" s="99" t="s">
        <v>316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3"/>
    </row>
    <row r="116" spans="1:64" x14ac:dyDescent="0.2">
      <c r="A116" s="29" t="s">
        <v>317</v>
      </c>
      <c r="B116" s="4" t="s">
        <v>318</v>
      </c>
      <c r="C116" s="81" t="s">
        <v>319</v>
      </c>
      <c r="D116" s="81"/>
      <c r="E116" s="81"/>
      <c r="F116" s="81"/>
      <c r="G116" s="4" t="s">
        <v>315</v>
      </c>
      <c r="H116" s="28">
        <v>3</v>
      </c>
      <c r="I116" s="28">
        <v>0</v>
      </c>
      <c r="J116" s="28">
        <f>H116*AO116</f>
        <v>0</v>
      </c>
      <c r="K116" s="28">
        <f>H116*AP116</f>
        <v>0</v>
      </c>
      <c r="L116" s="28">
        <f>H116*I116</f>
        <v>0</v>
      </c>
      <c r="M116" s="52" t="s">
        <v>145</v>
      </c>
      <c r="N116" s="3"/>
      <c r="Z116" s="28">
        <f>IF(AQ116="5",BJ116,0)</f>
        <v>0</v>
      </c>
      <c r="AB116" s="28">
        <f>IF(AQ116="1",BH116,0)</f>
        <v>0</v>
      </c>
      <c r="AC116" s="28">
        <f>IF(AQ116="1",BI116,0)</f>
        <v>0</v>
      </c>
      <c r="AD116" s="28">
        <f>IF(AQ116="7",BH116,0)</f>
        <v>0</v>
      </c>
      <c r="AE116" s="28">
        <f>IF(AQ116="7",BI116,0)</f>
        <v>0</v>
      </c>
      <c r="AF116" s="28">
        <f>IF(AQ116="2",BH116,0)</f>
        <v>0</v>
      </c>
      <c r="AG116" s="28">
        <f>IF(AQ116="2",BI116,0)</f>
        <v>0</v>
      </c>
      <c r="AH116" s="28">
        <f>IF(AQ116="0",BJ116,0)</f>
        <v>0</v>
      </c>
      <c r="AI116" s="37"/>
      <c r="AJ116" s="28">
        <f>IF(AN116=0,L116,0)</f>
        <v>0</v>
      </c>
      <c r="AK116" s="28">
        <f>IF(AN116=15,L116,0)</f>
        <v>0</v>
      </c>
      <c r="AL116" s="28">
        <f>IF(AN116=21,L116,0)</f>
        <v>0</v>
      </c>
      <c r="AN116" s="28">
        <v>21</v>
      </c>
      <c r="AO116" s="28">
        <f>I116*1</f>
        <v>0</v>
      </c>
      <c r="AP116" s="28">
        <f>I116*(1-1)</f>
        <v>0</v>
      </c>
      <c r="AQ116" s="53" t="s">
        <v>141</v>
      </c>
      <c r="AV116" s="28">
        <f>AW116+AX116</f>
        <v>0</v>
      </c>
      <c r="AW116" s="28">
        <f>H116*AO116</f>
        <v>0</v>
      </c>
      <c r="AX116" s="28">
        <f>H116*AP116</f>
        <v>0</v>
      </c>
      <c r="AY116" s="53" t="s">
        <v>308</v>
      </c>
      <c r="AZ116" s="53" t="s">
        <v>259</v>
      </c>
      <c r="BA116" s="37" t="s">
        <v>148</v>
      </c>
      <c r="BC116" s="28">
        <f>AW116+AX116</f>
        <v>0</v>
      </c>
      <c r="BD116" s="28">
        <f>I116/(100-BE116)*100</f>
        <v>0</v>
      </c>
      <c r="BE116" s="28">
        <v>0</v>
      </c>
      <c r="BF116" s="28">
        <f>116</f>
        <v>116</v>
      </c>
      <c r="BH116" s="28">
        <f>H116*AO116</f>
        <v>0</v>
      </c>
      <c r="BI116" s="28">
        <f>H116*AP116</f>
        <v>0</v>
      </c>
      <c r="BJ116" s="28">
        <f>H116*I116</f>
        <v>0</v>
      </c>
      <c r="BK116" s="28" t="s">
        <v>205</v>
      </c>
      <c r="BL116" s="28">
        <v>59</v>
      </c>
    </row>
    <row r="117" spans="1:64" x14ac:dyDescent="0.2">
      <c r="A117" s="3"/>
      <c r="C117" s="54" t="s">
        <v>157</v>
      </c>
      <c r="F117" s="54"/>
      <c r="H117" s="55">
        <v>3</v>
      </c>
      <c r="M117" s="17"/>
      <c r="N117" s="3"/>
    </row>
    <row r="118" spans="1:64" x14ac:dyDescent="0.2">
      <c r="A118" s="29" t="s">
        <v>320</v>
      </c>
      <c r="B118" s="4" t="s">
        <v>321</v>
      </c>
      <c r="C118" s="81" t="s">
        <v>322</v>
      </c>
      <c r="D118" s="81"/>
      <c r="E118" s="81"/>
      <c r="F118" s="81"/>
      <c r="G118" s="4" t="s">
        <v>315</v>
      </c>
      <c r="H118" s="28">
        <v>3</v>
      </c>
      <c r="I118" s="28">
        <v>0</v>
      </c>
      <c r="J118" s="28">
        <f>H118*AO118</f>
        <v>0</v>
      </c>
      <c r="K118" s="28">
        <f>H118*AP118</f>
        <v>0</v>
      </c>
      <c r="L118" s="28">
        <f>H118*I118</f>
        <v>0</v>
      </c>
      <c r="M118" s="52" t="s">
        <v>145</v>
      </c>
      <c r="N118" s="3"/>
      <c r="Z118" s="28">
        <f>IF(AQ118="5",BJ118,0)</f>
        <v>0</v>
      </c>
      <c r="AB118" s="28">
        <f>IF(AQ118="1",BH118,0)</f>
        <v>0</v>
      </c>
      <c r="AC118" s="28">
        <f>IF(AQ118="1",BI118,0)</f>
        <v>0</v>
      </c>
      <c r="AD118" s="28">
        <f>IF(AQ118="7",BH118,0)</f>
        <v>0</v>
      </c>
      <c r="AE118" s="28">
        <f>IF(AQ118="7",BI118,0)</f>
        <v>0</v>
      </c>
      <c r="AF118" s="28">
        <f>IF(AQ118="2",BH118,0)</f>
        <v>0</v>
      </c>
      <c r="AG118" s="28">
        <f>IF(AQ118="2",BI118,0)</f>
        <v>0</v>
      </c>
      <c r="AH118" s="28">
        <f>IF(AQ118="0",BJ118,0)</f>
        <v>0</v>
      </c>
      <c r="AI118" s="37"/>
      <c r="AJ118" s="28">
        <f>IF(AN118=0,L118,0)</f>
        <v>0</v>
      </c>
      <c r="AK118" s="28">
        <f>IF(AN118=15,L118,0)</f>
        <v>0</v>
      </c>
      <c r="AL118" s="28">
        <f>IF(AN118=21,L118,0)</f>
        <v>0</v>
      </c>
      <c r="AN118" s="28">
        <v>21</v>
      </c>
      <c r="AO118" s="28">
        <f>I118*0.298786346396966</f>
        <v>0</v>
      </c>
      <c r="AP118" s="28">
        <f>I118*(1-0.298786346396966)</f>
        <v>0</v>
      </c>
      <c r="AQ118" s="53" t="s">
        <v>141</v>
      </c>
      <c r="AV118" s="28">
        <f>AW118+AX118</f>
        <v>0</v>
      </c>
      <c r="AW118" s="28">
        <f>H118*AO118</f>
        <v>0</v>
      </c>
      <c r="AX118" s="28">
        <f>H118*AP118</f>
        <v>0</v>
      </c>
      <c r="AY118" s="53" t="s">
        <v>308</v>
      </c>
      <c r="AZ118" s="53" t="s">
        <v>259</v>
      </c>
      <c r="BA118" s="37" t="s">
        <v>148</v>
      </c>
      <c r="BC118" s="28">
        <f>AW118+AX118</f>
        <v>0</v>
      </c>
      <c r="BD118" s="28">
        <f>I118/(100-BE118)*100</f>
        <v>0</v>
      </c>
      <c r="BE118" s="28">
        <v>0</v>
      </c>
      <c r="BF118" s="28">
        <f>118</f>
        <v>118</v>
      </c>
      <c r="BH118" s="28">
        <f>H118*AO118</f>
        <v>0</v>
      </c>
      <c r="BI118" s="28">
        <f>H118*AP118</f>
        <v>0</v>
      </c>
      <c r="BJ118" s="28">
        <f>H118*I118</f>
        <v>0</v>
      </c>
      <c r="BK118" s="28" t="s">
        <v>149</v>
      </c>
      <c r="BL118" s="28">
        <v>59</v>
      </c>
    </row>
    <row r="119" spans="1:64" ht="12.75" customHeight="1" x14ac:dyDescent="0.2">
      <c r="A119" s="3"/>
      <c r="B119" s="56" t="s">
        <v>172</v>
      </c>
      <c r="C119" s="102" t="s">
        <v>323</v>
      </c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3"/>
    </row>
    <row r="120" spans="1:64" x14ac:dyDescent="0.2">
      <c r="A120" s="3"/>
      <c r="C120" s="54" t="s">
        <v>157</v>
      </c>
      <c r="F120" s="54"/>
      <c r="H120" s="55">
        <v>3</v>
      </c>
      <c r="M120" s="17"/>
      <c r="N120" s="3"/>
    </row>
    <row r="121" spans="1:64" ht="25.7" customHeight="1" x14ac:dyDescent="0.2">
      <c r="A121" s="3"/>
      <c r="B121" s="56" t="s">
        <v>151</v>
      </c>
      <c r="C121" s="99" t="s">
        <v>324</v>
      </c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3"/>
    </row>
    <row r="122" spans="1:64" x14ac:dyDescent="0.2">
      <c r="A122" s="29" t="s">
        <v>325</v>
      </c>
      <c r="B122" s="4" t="s">
        <v>326</v>
      </c>
      <c r="C122" s="81" t="s">
        <v>327</v>
      </c>
      <c r="D122" s="81"/>
      <c r="E122" s="81"/>
      <c r="F122" s="81"/>
      <c r="G122" s="4" t="s">
        <v>315</v>
      </c>
      <c r="H122" s="28">
        <v>3</v>
      </c>
      <c r="I122" s="28">
        <v>0</v>
      </c>
      <c r="J122" s="28">
        <f>H122*AO122</f>
        <v>0</v>
      </c>
      <c r="K122" s="28">
        <f>H122*AP122</f>
        <v>0</v>
      </c>
      <c r="L122" s="28">
        <f>H122*I122</f>
        <v>0</v>
      </c>
      <c r="M122" s="52" t="s">
        <v>145</v>
      </c>
      <c r="N122" s="3"/>
      <c r="Z122" s="28">
        <f>IF(AQ122="5",BJ122,0)</f>
        <v>0</v>
      </c>
      <c r="AB122" s="28">
        <f>IF(AQ122="1",BH122,0)</f>
        <v>0</v>
      </c>
      <c r="AC122" s="28">
        <f>IF(AQ122="1",BI122,0)</f>
        <v>0</v>
      </c>
      <c r="AD122" s="28">
        <f>IF(AQ122="7",BH122,0)</f>
        <v>0</v>
      </c>
      <c r="AE122" s="28">
        <f>IF(AQ122="7",BI122,0)</f>
        <v>0</v>
      </c>
      <c r="AF122" s="28">
        <f>IF(AQ122="2",BH122,0)</f>
        <v>0</v>
      </c>
      <c r="AG122" s="28">
        <f>IF(AQ122="2",BI122,0)</f>
        <v>0</v>
      </c>
      <c r="AH122" s="28">
        <f>IF(AQ122="0",BJ122,0)</f>
        <v>0</v>
      </c>
      <c r="AI122" s="37"/>
      <c r="AJ122" s="28">
        <f>IF(AN122=0,L122,0)</f>
        <v>0</v>
      </c>
      <c r="AK122" s="28">
        <f>IF(AN122=15,L122,0)</f>
        <v>0</v>
      </c>
      <c r="AL122" s="28">
        <f>IF(AN122=21,L122,0)</f>
        <v>0</v>
      </c>
      <c r="AN122" s="28">
        <v>21</v>
      </c>
      <c r="AO122" s="28">
        <f>I122*1</f>
        <v>0</v>
      </c>
      <c r="AP122" s="28">
        <f>I122*(1-1)</f>
        <v>0</v>
      </c>
      <c r="AQ122" s="53" t="s">
        <v>141</v>
      </c>
      <c r="AV122" s="28">
        <f>AW122+AX122</f>
        <v>0</v>
      </c>
      <c r="AW122" s="28">
        <f>H122*AO122</f>
        <v>0</v>
      </c>
      <c r="AX122" s="28">
        <f>H122*AP122</f>
        <v>0</v>
      </c>
      <c r="AY122" s="53" t="s">
        <v>308</v>
      </c>
      <c r="AZ122" s="53" t="s">
        <v>259</v>
      </c>
      <c r="BA122" s="37" t="s">
        <v>148</v>
      </c>
      <c r="BC122" s="28">
        <f>AW122+AX122</f>
        <v>0</v>
      </c>
      <c r="BD122" s="28">
        <f>I122/(100-BE122)*100</f>
        <v>0</v>
      </c>
      <c r="BE122" s="28">
        <v>0</v>
      </c>
      <c r="BF122" s="28">
        <f>122</f>
        <v>122</v>
      </c>
      <c r="BH122" s="28">
        <f>H122*AO122</f>
        <v>0</v>
      </c>
      <c r="BI122" s="28">
        <f>H122*AP122</f>
        <v>0</v>
      </c>
      <c r="BJ122" s="28">
        <f>H122*I122</f>
        <v>0</v>
      </c>
      <c r="BK122" s="28" t="s">
        <v>205</v>
      </c>
      <c r="BL122" s="28">
        <v>59</v>
      </c>
    </row>
    <row r="123" spans="1:64" x14ac:dyDescent="0.2">
      <c r="A123" s="3"/>
      <c r="C123" s="54" t="s">
        <v>157</v>
      </c>
      <c r="F123" s="54"/>
      <c r="H123" s="55">
        <v>3</v>
      </c>
      <c r="M123" s="17"/>
      <c r="N123" s="3"/>
    </row>
    <row r="124" spans="1:64" ht="25.7" customHeight="1" x14ac:dyDescent="0.2">
      <c r="A124" s="3"/>
      <c r="B124" s="56" t="s">
        <v>151</v>
      </c>
      <c r="C124" s="99" t="s">
        <v>328</v>
      </c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3"/>
    </row>
    <row r="125" spans="1:64" x14ac:dyDescent="0.2">
      <c r="A125" s="29" t="s">
        <v>86</v>
      </c>
      <c r="B125" s="4" t="s">
        <v>329</v>
      </c>
      <c r="C125" s="81" t="s">
        <v>330</v>
      </c>
      <c r="D125" s="81"/>
      <c r="E125" s="81"/>
      <c r="F125" s="81"/>
      <c r="G125" s="4" t="s">
        <v>315</v>
      </c>
      <c r="H125" s="28">
        <v>17</v>
      </c>
      <c r="I125" s="28">
        <v>0</v>
      </c>
      <c r="J125" s="28">
        <f>H125*AO125</f>
        <v>0</v>
      </c>
      <c r="K125" s="28">
        <f>H125*AP125</f>
        <v>0</v>
      </c>
      <c r="L125" s="28">
        <f>H125*I125</f>
        <v>0</v>
      </c>
      <c r="M125" s="52" t="s">
        <v>145</v>
      </c>
      <c r="N125" s="3"/>
      <c r="Z125" s="28">
        <f>IF(AQ125="5",BJ125,0)</f>
        <v>0</v>
      </c>
      <c r="AB125" s="28">
        <f>IF(AQ125="1",BH125,0)</f>
        <v>0</v>
      </c>
      <c r="AC125" s="28">
        <f>IF(AQ125="1",BI125,0)</f>
        <v>0</v>
      </c>
      <c r="AD125" s="28">
        <f>IF(AQ125="7",BH125,0)</f>
        <v>0</v>
      </c>
      <c r="AE125" s="28">
        <f>IF(AQ125="7",BI125,0)</f>
        <v>0</v>
      </c>
      <c r="AF125" s="28">
        <f>IF(AQ125="2",BH125,0)</f>
        <v>0</v>
      </c>
      <c r="AG125" s="28">
        <f>IF(AQ125="2",BI125,0)</f>
        <v>0</v>
      </c>
      <c r="AH125" s="28">
        <f>IF(AQ125="0",BJ125,0)</f>
        <v>0</v>
      </c>
      <c r="AI125" s="37"/>
      <c r="AJ125" s="28">
        <f>IF(AN125=0,L125,0)</f>
        <v>0</v>
      </c>
      <c r="AK125" s="28">
        <f>IF(AN125=15,L125,0)</f>
        <v>0</v>
      </c>
      <c r="AL125" s="28">
        <f>IF(AN125=21,L125,0)</f>
        <v>0</v>
      </c>
      <c r="AN125" s="28">
        <v>21</v>
      </c>
      <c r="AO125" s="28">
        <f>I125*0.981745454545455</f>
        <v>0</v>
      </c>
      <c r="AP125" s="28">
        <f>I125*(1-0.981745454545455)</f>
        <v>0</v>
      </c>
      <c r="AQ125" s="53" t="s">
        <v>141</v>
      </c>
      <c r="AV125" s="28">
        <f>AW125+AX125</f>
        <v>0</v>
      </c>
      <c r="AW125" s="28">
        <f>H125*AO125</f>
        <v>0</v>
      </c>
      <c r="AX125" s="28">
        <f>H125*AP125</f>
        <v>0</v>
      </c>
      <c r="AY125" s="53" t="s">
        <v>308</v>
      </c>
      <c r="AZ125" s="53" t="s">
        <v>259</v>
      </c>
      <c r="BA125" s="37" t="s">
        <v>148</v>
      </c>
      <c r="BC125" s="28">
        <f>AW125+AX125</f>
        <v>0</v>
      </c>
      <c r="BD125" s="28">
        <f>I125/(100-BE125)*100</f>
        <v>0</v>
      </c>
      <c r="BE125" s="28">
        <v>0</v>
      </c>
      <c r="BF125" s="28">
        <f>125</f>
        <v>125</v>
      </c>
      <c r="BH125" s="28">
        <f>H125*AO125</f>
        <v>0</v>
      </c>
      <c r="BI125" s="28">
        <f>H125*AP125</f>
        <v>0</v>
      </c>
      <c r="BJ125" s="28">
        <f>H125*I125</f>
        <v>0</v>
      </c>
      <c r="BK125" s="28" t="s">
        <v>149</v>
      </c>
      <c r="BL125" s="28">
        <v>59</v>
      </c>
    </row>
    <row r="126" spans="1:64" x14ac:dyDescent="0.2">
      <c r="A126" s="3"/>
      <c r="C126" s="54" t="s">
        <v>78</v>
      </c>
      <c r="F126" s="54"/>
      <c r="H126" s="55">
        <v>17</v>
      </c>
      <c r="M126" s="17"/>
      <c r="N126" s="3"/>
    </row>
    <row r="127" spans="1:64" ht="12.75" customHeight="1" x14ac:dyDescent="0.2">
      <c r="A127" s="3"/>
      <c r="B127" s="56" t="s">
        <v>151</v>
      </c>
      <c r="C127" s="99" t="s">
        <v>331</v>
      </c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3"/>
    </row>
    <row r="128" spans="1:64" x14ac:dyDescent="0.2">
      <c r="A128" s="29" t="s">
        <v>332</v>
      </c>
      <c r="B128" s="4" t="s">
        <v>333</v>
      </c>
      <c r="C128" s="81" t="s">
        <v>334</v>
      </c>
      <c r="D128" s="81"/>
      <c r="E128" s="81"/>
      <c r="F128" s="81"/>
      <c r="G128" s="4" t="s">
        <v>315</v>
      </c>
      <c r="H128" s="28">
        <v>3</v>
      </c>
      <c r="I128" s="28">
        <v>0</v>
      </c>
      <c r="J128" s="28">
        <f>H128*AO128</f>
        <v>0</v>
      </c>
      <c r="K128" s="28">
        <f>H128*AP128</f>
        <v>0</v>
      </c>
      <c r="L128" s="28">
        <f>H128*I128</f>
        <v>0</v>
      </c>
      <c r="M128" s="52" t="s">
        <v>145</v>
      </c>
      <c r="N128" s="3"/>
      <c r="Z128" s="28">
        <f>IF(AQ128="5",BJ128,0)</f>
        <v>0</v>
      </c>
      <c r="AB128" s="28">
        <f>IF(AQ128="1",BH128,0)</f>
        <v>0</v>
      </c>
      <c r="AC128" s="28">
        <f>IF(AQ128="1",BI128,0)</f>
        <v>0</v>
      </c>
      <c r="AD128" s="28">
        <f>IF(AQ128="7",BH128,0)</f>
        <v>0</v>
      </c>
      <c r="AE128" s="28">
        <f>IF(AQ128="7",BI128,0)</f>
        <v>0</v>
      </c>
      <c r="AF128" s="28">
        <f>IF(AQ128="2",BH128,0)</f>
        <v>0</v>
      </c>
      <c r="AG128" s="28">
        <f>IF(AQ128="2",BI128,0)</f>
        <v>0</v>
      </c>
      <c r="AH128" s="28">
        <f>IF(AQ128="0",BJ128,0)</f>
        <v>0</v>
      </c>
      <c r="AI128" s="37"/>
      <c r="AJ128" s="28">
        <f>IF(AN128=0,L128,0)</f>
        <v>0</v>
      </c>
      <c r="AK128" s="28">
        <f>IF(AN128=15,L128,0)</f>
        <v>0</v>
      </c>
      <c r="AL128" s="28">
        <f>IF(AN128=21,L128,0)</f>
        <v>0</v>
      </c>
      <c r="AN128" s="28">
        <v>21</v>
      </c>
      <c r="AO128" s="28">
        <f>I128*0.996019825475498</f>
        <v>0</v>
      </c>
      <c r="AP128" s="28">
        <f>I128*(1-0.996019825475498)</f>
        <v>0</v>
      </c>
      <c r="AQ128" s="53" t="s">
        <v>141</v>
      </c>
      <c r="AV128" s="28">
        <f>AW128+AX128</f>
        <v>0</v>
      </c>
      <c r="AW128" s="28">
        <f>H128*AO128</f>
        <v>0</v>
      </c>
      <c r="AX128" s="28">
        <f>H128*AP128</f>
        <v>0</v>
      </c>
      <c r="AY128" s="53" t="s">
        <v>308</v>
      </c>
      <c r="AZ128" s="53" t="s">
        <v>259</v>
      </c>
      <c r="BA128" s="37" t="s">
        <v>148</v>
      </c>
      <c r="BC128" s="28">
        <f>AW128+AX128</f>
        <v>0</v>
      </c>
      <c r="BD128" s="28">
        <f>I128/(100-BE128)*100</f>
        <v>0</v>
      </c>
      <c r="BE128" s="28">
        <v>0</v>
      </c>
      <c r="BF128" s="28">
        <f>128</f>
        <v>128</v>
      </c>
      <c r="BH128" s="28">
        <f>H128*AO128</f>
        <v>0</v>
      </c>
      <c r="BI128" s="28">
        <f>H128*AP128</f>
        <v>0</v>
      </c>
      <c r="BJ128" s="28">
        <f>H128*I128</f>
        <v>0</v>
      </c>
      <c r="BK128" s="28" t="s">
        <v>149</v>
      </c>
      <c r="BL128" s="28">
        <v>59</v>
      </c>
    </row>
    <row r="129" spans="1:64" x14ac:dyDescent="0.2">
      <c r="A129" s="3"/>
      <c r="C129" s="54" t="s">
        <v>157</v>
      </c>
      <c r="F129" s="54"/>
      <c r="H129" s="55">
        <v>3</v>
      </c>
      <c r="M129" s="17"/>
      <c r="N129" s="3"/>
    </row>
    <row r="130" spans="1:64" ht="12.75" customHeight="1" x14ac:dyDescent="0.2">
      <c r="A130" s="3"/>
      <c r="B130" s="56" t="s">
        <v>151</v>
      </c>
      <c r="C130" s="99" t="s">
        <v>335</v>
      </c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3"/>
    </row>
    <row r="131" spans="1:64" x14ac:dyDescent="0.2">
      <c r="A131" s="29" t="s">
        <v>336</v>
      </c>
      <c r="B131" s="4" t="s">
        <v>337</v>
      </c>
      <c r="C131" s="81" t="s">
        <v>338</v>
      </c>
      <c r="D131" s="81"/>
      <c r="E131" s="81"/>
      <c r="F131" s="81"/>
      <c r="G131" s="4" t="s">
        <v>144</v>
      </c>
      <c r="H131" s="28">
        <v>16</v>
      </c>
      <c r="I131" s="28">
        <v>0</v>
      </c>
      <c r="J131" s="28">
        <f>H131*AO131</f>
        <v>0</v>
      </c>
      <c r="K131" s="28">
        <f>H131*AP131</f>
        <v>0</v>
      </c>
      <c r="L131" s="28">
        <f>H131*I131</f>
        <v>0</v>
      </c>
      <c r="M131" s="52" t="s">
        <v>145</v>
      </c>
      <c r="N131" s="3"/>
      <c r="Z131" s="28">
        <f>IF(AQ131="5",BJ131,0)</f>
        <v>0</v>
      </c>
      <c r="AB131" s="28">
        <f>IF(AQ131="1",BH131,0)</f>
        <v>0</v>
      </c>
      <c r="AC131" s="28">
        <f>IF(AQ131="1",BI131,0)</f>
        <v>0</v>
      </c>
      <c r="AD131" s="28">
        <f>IF(AQ131="7",BH131,0)</f>
        <v>0</v>
      </c>
      <c r="AE131" s="28">
        <f>IF(AQ131="7",BI131,0)</f>
        <v>0</v>
      </c>
      <c r="AF131" s="28">
        <f>IF(AQ131="2",BH131,0)</f>
        <v>0</v>
      </c>
      <c r="AG131" s="28">
        <f>IF(AQ131="2",BI131,0)</f>
        <v>0</v>
      </c>
      <c r="AH131" s="28">
        <f>IF(AQ131="0",BJ131,0)</f>
        <v>0</v>
      </c>
      <c r="AI131" s="37"/>
      <c r="AJ131" s="28">
        <f>IF(AN131=0,L131,0)</f>
        <v>0</v>
      </c>
      <c r="AK131" s="28">
        <f>IF(AN131=15,L131,0)</f>
        <v>0</v>
      </c>
      <c r="AL131" s="28">
        <f>IF(AN131=21,L131,0)</f>
        <v>0</v>
      </c>
      <c r="AN131" s="28">
        <v>21</v>
      </c>
      <c r="AO131" s="28">
        <f>I131*0.776878881987578</f>
        <v>0</v>
      </c>
      <c r="AP131" s="28">
        <f>I131*(1-0.776878881987578)</f>
        <v>0</v>
      </c>
      <c r="AQ131" s="53" t="s">
        <v>141</v>
      </c>
      <c r="AV131" s="28">
        <f>AW131+AX131</f>
        <v>0</v>
      </c>
      <c r="AW131" s="28">
        <f>H131*AO131</f>
        <v>0</v>
      </c>
      <c r="AX131" s="28">
        <f>H131*AP131</f>
        <v>0</v>
      </c>
      <c r="AY131" s="53" t="s">
        <v>308</v>
      </c>
      <c r="AZ131" s="53" t="s">
        <v>259</v>
      </c>
      <c r="BA131" s="37" t="s">
        <v>148</v>
      </c>
      <c r="BC131" s="28">
        <f>AW131+AX131</f>
        <v>0</v>
      </c>
      <c r="BD131" s="28">
        <f>I131/(100-BE131)*100</f>
        <v>0</v>
      </c>
      <c r="BE131" s="28">
        <v>0</v>
      </c>
      <c r="BF131" s="28">
        <f>131</f>
        <v>131</v>
      </c>
      <c r="BH131" s="28">
        <f>H131*AO131</f>
        <v>0</v>
      </c>
      <c r="BI131" s="28">
        <f>H131*AP131</f>
        <v>0</v>
      </c>
      <c r="BJ131" s="28">
        <f>H131*I131</f>
        <v>0</v>
      </c>
      <c r="BK131" s="28" t="s">
        <v>149</v>
      </c>
      <c r="BL131" s="28">
        <v>59</v>
      </c>
    </row>
    <row r="132" spans="1:64" x14ac:dyDescent="0.2">
      <c r="A132" s="3"/>
      <c r="C132" s="54" t="s">
        <v>76</v>
      </c>
      <c r="F132" s="54"/>
      <c r="H132" s="55">
        <v>16</v>
      </c>
      <c r="M132" s="17"/>
      <c r="N132" s="3"/>
    </row>
    <row r="133" spans="1:64" ht="25.7" customHeight="1" x14ac:dyDescent="0.2">
      <c r="A133" s="3"/>
      <c r="B133" s="56" t="s">
        <v>151</v>
      </c>
      <c r="C133" s="99" t="s">
        <v>339</v>
      </c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3"/>
    </row>
    <row r="134" spans="1:64" x14ac:dyDescent="0.2">
      <c r="A134" s="57"/>
      <c r="B134" s="58" t="s">
        <v>96</v>
      </c>
      <c r="C134" s="101" t="s">
        <v>97</v>
      </c>
      <c r="D134" s="101"/>
      <c r="E134" s="101"/>
      <c r="F134" s="101"/>
      <c r="G134" s="59" t="s">
        <v>61</v>
      </c>
      <c r="H134" s="59" t="s">
        <v>61</v>
      </c>
      <c r="I134" s="59" t="s">
        <v>61</v>
      </c>
      <c r="J134" s="51">
        <f>SUM(J135)</f>
        <v>0</v>
      </c>
      <c r="K134" s="51">
        <f>SUM(K135)</f>
        <v>0</v>
      </c>
      <c r="L134" s="51">
        <f>SUM(L135)</f>
        <v>0</v>
      </c>
      <c r="M134" s="60"/>
      <c r="N134" s="3"/>
      <c r="AI134" s="37"/>
      <c r="AS134" s="51">
        <f>SUM(AJ135)</f>
        <v>0</v>
      </c>
      <c r="AT134" s="51">
        <f>SUM(AK135)</f>
        <v>0</v>
      </c>
      <c r="AU134" s="51">
        <f>SUM(AL135)</f>
        <v>0</v>
      </c>
    </row>
    <row r="135" spans="1:64" x14ac:dyDescent="0.2">
      <c r="A135" s="29" t="s">
        <v>278</v>
      </c>
      <c r="B135" s="4" t="s">
        <v>340</v>
      </c>
      <c r="C135" s="81" t="s">
        <v>341</v>
      </c>
      <c r="D135" s="81"/>
      <c r="E135" s="81"/>
      <c r="F135" s="81"/>
      <c r="G135" s="4" t="s">
        <v>164</v>
      </c>
      <c r="H135" s="28">
        <v>3</v>
      </c>
      <c r="I135" s="28">
        <v>0</v>
      </c>
      <c r="J135" s="28">
        <f>H135*AO135</f>
        <v>0</v>
      </c>
      <c r="K135" s="28">
        <f>H135*AP135</f>
        <v>0</v>
      </c>
      <c r="L135" s="28">
        <f>H135*I135</f>
        <v>0</v>
      </c>
      <c r="M135" s="52" t="s">
        <v>145</v>
      </c>
      <c r="N135" s="3"/>
      <c r="Z135" s="28">
        <f>IF(AQ135="5",BJ135,0)</f>
        <v>0</v>
      </c>
      <c r="AB135" s="28">
        <f>IF(AQ135="1",BH135,0)</f>
        <v>0</v>
      </c>
      <c r="AC135" s="28">
        <f>IF(AQ135="1",BI135,0)</f>
        <v>0</v>
      </c>
      <c r="AD135" s="28">
        <f>IF(AQ135="7",BH135,0)</f>
        <v>0</v>
      </c>
      <c r="AE135" s="28">
        <f>IF(AQ135="7",BI135,0)</f>
        <v>0</v>
      </c>
      <c r="AF135" s="28">
        <f>IF(AQ135="2",BH135,0)</f>
        <v>0</v>
      </c>
      <c r="AG135" s="28">
        <f>IF(AQ135="2",BI135,0)</f>
        <v>0</v>
      </c>
      <c r="AH135" s="28">
        <f>IF(AQ135="0",BJ135,0)</f>
        <v>0</v>
      </c>
      <c r="AI135" s="37"/>
      <c r="AJ135" s="28">
        <f>IF(AN135=0,L135,0)</f>
        <v>0</v>
      </c>
      <c r="AK135" s="28">
        <f>IF(AN135=15,L135,0)</f>
        <v>0</v>
      </c>
      <c r="AL135" s="28">
        <f>IF(AN135=21,L135,0)</f>
        <v>0</v>
      </c>
      <c r="AN135" s="28">
        <v>21</v>
      </c>
      <c r="AO135" s="28">
        <f>I135*0.3016802238763</f>
        <v>0</v>
      </c>
      <c r="AP135" s="28">
        <f>I135*(1-0.3016802238763)</f>
        <v>0</v>
      </c>
      <c r="AQ135" s="53" t="s">
        <v>141</v>
      </c>
      <c r="AV135" s="28">
        <f>AW135+AX135</f>
        <v>0</v>
      </c>
      <c r="AW135" s="28">
        <f>H135*AO135</f>
        <v>0</v>
      </c>
      <c r="AX135" s="28">
        <f>H135*AP135</f>
        <v>0</v>
      </c>
      <c r="AY135" s="53" t="s">
        <v>342</v>
      </c>
      <c r="AZ135" s="53" t="s">
        <v>343</v>
      </c>
      <c r="BA135" s="37" t="s">
        <v>148</v>
      </c>
      <c r="BC135" s="28">
        <f>AW135+AX135</f>
        <v>0</v>
      </c>
      <c r="BD135" s="28">
        <f>I135/(100-BE135)*100</f>
        <v>0</v>
      </c>
      <c r="BE135" s="28">
        <v>0</v>
      </c>
      <c r="BF135" s="28">
        <f>135</f>
        <v>135</v>
      </c>
      <c r="BH135" s="28">
        <f>H135*AO135</f>
        <v>0</v>
      </c>
      <c r="BI135" s="28">
        <f>H135*AP135</f>
        <v>0</v>
      </c>
      <c r="BJ135" s="28">
        <f>H135*I135</f>
        <v>0</v>
      </c>
      <c r="BK135" s="28" t="s">
        <v>149</v>
      </c>
      <c r="BL135" s="28">
        <v>83</v>
      </c>
    </row>
    <row r="136" spans="1:64" x14ac:dyDescent="0.2">
      <c r="A136" s="3"/>
      <c r="C136" s="54" t="s">
        <v>157</v>
      </c>
      <c r="F136" s="54" t="s">
        <v>344</v>
      </c>
      <c r="H136" s="55">
        <v>3</v>
      </c>
      <c r="M136" s="17"/>
      <c r="N136" s="3"/>
    </row>
    <row r="137" spans="1:64" ht="38.450000000000003" customHeight="1" x14ac:dyDescent="0.2">
      <c r="A137" s="3"/>
      <c r="B137" s="56" t="s">
        <v>151</v>
      </c>
      <c r="C137" s="99" t="s">
        <v>345</v>
      </c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3"/>
    </row>
    <row r="138" spans="1:64" x14ac:dyDescent="0.2">
      <c r="A138" s="57"/>
      <c r="B138" s="58" t="s">
        <v>98</v>
      </c>
      <c r="C138" s="101" t="s">
        <v>99</v>
      </c>
      <c r="D138" s="101"/>
      <c r="E138" s="101"/>
      <c r="F138" s="101"/>
      <c r="G138" s="59" t="s">
        <v>61</v>
      </c>
      <c r="H138" s="59" t="s">
        <v>61</v>
      </c>
      <c r="I138" s="59" t="s">
        <v>61</v>
      </c>
      <c r="J138" s="51">
        <f>SUM(J139)</f>
        <v>0</v>
      </c>
      <c r="K138" s="51">
        <f>SUM(K139)</f>
        <v>0</v>
      </c>
      <c r="L138" s="51">
        <f>SUM(L139)</f>
        <v>0</v>
      </c>
      <c r="M138" s="60"/>
      <c r="N138" s="3"/>
      <c r="AI138" s="37"/>
      <c r="AS138" s="51">
        <f>SUM(AJ139)</f>
        <v>0</v>
      </c>
      <c r="AT138" s="51">
        <f>SUM(AK139)</f>
        <v>0</v>
      </c>
      <c r="AU138" s="51">
        <f>SUM(AL139)</f>
        <v>0</v>
      </c>
    </row>
    <row r="139" spans="1:64" x14ac:dyDescent="0.2">
      <c r="A139" s="29" t="s">
        <v>346</v>
      </c>
      <c r="B139" s="4" t="s">
        <v>347</v>
      </c>
      <c r="C139" s="81" t="s">
        <v>348</v>
      </c>
      <c r="D139" s="81"/>
      <c r="E139" s="81"/>
      <c r="F139" s="81"/>
      <c r="G139" s="4" t="s">
        <v>315</v>
      </c>
      <c r="H139" s="28">
        <v>8</v>
      </c>
      <c r="I139" s="28">
        <v>0</v>
      </c>
      <c r="J139" s="28">
        <f>H139*AO139</f>
        <v>0</v>
      </c>
      <c r="K139" s="28">
        <f>H139*AP139</f>
        <v>0</v>
      </c>
      <c r="L139" s="28">
        <f>H139*I139</f>
        <v>0</v>
      </c>
      <c r="M139" s="52" t="s">
        <v>145</v>
      </c>
      <c r="N139" s="3"/>
      <c r="Z139" s="28">
        <f>IF(AQ139="5",BJ139,0)</f>
        <v>0</v>
      </c>
      <c r="AB139" s="28">
        <f>IF(AQ139="1",BH139,0)</f>
        <v>0</v>
      </c>
      <c r="AC139" s="28">
        <f>IF(AQ139="1",BI139,0)</f>
        <v>0</v>
      </c>
      <c r="AD139" s="28">
        <f>IF(AQ139="7",BH139,0)</f>
        <v>0</v>
      </c>
      <c r="AE139" s="28">
        <f>IF(AQ139="7",BI139,0)</f>
        <v>0</v>
      </c>
      <c r="AF139" s="28">
        <f>IF(AQ139="2",BH139,0)</f>
        <v>0</v>
      </c>
      <c r="AG139" s="28">
        <f>IF(AQ139="2",BI139,0)</f>
        <v>0</v>
      </c>
      <c r="AH139" s="28">
        <f>IF(AQ139="0",BJ139,0)</f>
        <v>0</v>
      </c>
      <c r="AI139" s="37"/>
      <c r="AJ139" s="28">
        <f>IF(AN139=0,L139,0)</f>
        <v>0</v>
      </c>
      <c r="AK139" s="28">
        <f>IF(AN139=15,L139,0)</f>
        <v>0</v>
      </c>
      <c r="AL139" s="28">
        <f>IF(AN139=21,L139,0)</f>
        <v>0</v>
      </c>
      <c r="AN139" s="28">
        <v>21</v>
      </c>
      <c r="AO139" s="28">
        <f>I139*0.302344</f>
        <v>0</v>
      </c>
      <c r="AP139" s="28">
        <f>I139*(1-0.302344)</f>
        <v>0</v>
      </c>
      <c r="AQ139" s="53" t="s">
        <v>141</v>
      </c>
      <c r="AV139" s="28">
        <f>AW139+AX139</f>
        <v>0</v>
      </c>
      <c r="AW139" s="28">
        <f>H139*AO139</f>
        <v>0</v>
      </c>
      <c r="AX139" s="28">
        <f>H139*AP139</f>
        <v>0</v>
      </c>
      <c r="AY139" s="53" t="s">
        <v>349</v>
      </c>
      <c r="AZ139" s="53" t="s">
        <v>343</v>
      </c>
      <c r="BA139" s="37" t="s">
        <v>148</v>
      </c>
      <c r="BC139" s="28">
        <f>AW139+AX139</f>
        <v>0</v>
      </c>
      <c r="BD139" s="28">
        <f>I139/(100-BE139)*100</f>
        <v>0</v>
      </c>
      <c r="BE139" s="28">
        <v>0</v>
      </c>
      <c r="BF139" s="28">
        <f>139</f>
        <v>139</v>
      </c>
      <c r="BH139" s="28">
        <f>H139*AO139</f>
        <v>0</v>
      </c>
      <c r="BI139" s="28">
        <f>H139*AP139</f>
        <v>0</v>
      </c>
      <c r="BJ139" s="28">
        <f>H139*I139</f>
        <v>0</v>
      </c>
      <c r="BK139" s="28" t="s">
        <v>149</v>
      </c>
      <c r="BL139" s="28">
        <v>89</v>
      </c>
    </row>
    <row r="140" spans="1:64" x14ac:dyDescent="0.2">
      <c r="A140" s="3"/>
      <c r="C140" s="54" t="s">
        <v>189</v>
      </c>
      <c r="F140" s="54"/>
      <c r="H140" s="55">
        <v>8</v>
      </c>
      <c r="M140" s="17"/>
      <c r="N140" s="3"/>
    </row>
    <row r="141" spans="1:64" x14ac:dyDescent="0.2">
      <c r="A141" s="57"/>
      <c r="B141" s="58" t="s">
        <v>100</v>
      </c>
      <c r="C141" s="101" t="s">
        <v>101</v>
      </c>
      <c r="D141" s="101"/>
      <c r="E141" s="101"/>
      <c r="F141" s="101"/>
      <c r="G141" s="59" t="s">
        <v>61</v>
      </c>
      <c r="H141" s="59" t="s">
        <v>61</v>
      </c>
      <c r="I141" s="59" t="s">
        <v>61</v>
      </c>
      <c r="J141" s="51">
        <f>SUM(J142:J159)</f>
        <v>0</v>
      </c>
      <c r="K141" s="51">
        <f>SUM(K142:K159)</f>
        <v>0</v>
      </c>
      <c r="L141" s="51">
        <f>SUM(L142:L159)</f>
        <v>0</v>
      </c>
      <c r="M141" s="60"/>
      <c r="N141" s="3"/>
      <c r="AI141" s="37"/>
      <c r="AS141" s="51">
        <f>SUM(AJ142:AJ159)</f>
        <v>0</v>
      </c>
      <c r="AT141" s="51">
        <f>SUM(AK142:AK159)</f>
        <v>0</v>
      </c>
      <c r="AU141" s="51">
        <f>SUM(AL142:AL159)</f>
        <v>0</v>
      </c>
    </row>
    <row r="142" spans="1:64" x14ac:dyDescent="0.2">
      <c r="A142" s="29" t="s">
        <v>350</v>
      </c>
      <c r="B142" s="4" t="s">
        <v>351</v>
      </c>
      <c r="C142" s="81" t="s">
        <v>352</v>
      </c>
      <c r="D142" s="81"/>
      <c r="E142" s="81"/>
      <c r="F142" s="81"/>
      <c r="G142" s="4" t="s">
        <v>164</v>
      </c>
      <c r="H142" s="28">
        <v>19</v>
      </c>
      <c r="I142" s="28">
        <v>0</v>
      </c>
      <c r="J142" s="28">
        <f>H142*AO142</f>
        <v>0</v>
      </c>
      <c r="K142" s="28">
        <f>H142*AP142</f>
        <v>0</v>
      </c>
      <c r="L142" s="28">
        <f>H142*I142</f>
        <v>0</v>
      </c>
      <c r="M142" s="52" t="s">
        <v>145</v>
      </c>
      <c r="N142" s="3"/>
      <c r="Z142" s="28">
        <f>IF(AQ142="5",BJ142,0)</f>
        <v>0</v>
      </c>
      <c r="AB142" s="28">
        <f>IF(AQ142="1",BH142,0)</f>
        <v>0</v>
      </c>
      <c r="AC142" s="28">
        <f>IF(AQ142="1",BI142,0)</f>
        <v>0</v>
      </c>
      <c r="AD142" s="28">
        <f>IF(AQ142="7",BH142,0)</f>
        <v>0</v>
      </c>
      <c r="AE142" s="28">
        <f>IF(AQ142="7",BI142,0)</f>
        <v>0</v>
      </c>
      <c r="AF142" s="28">
        <f>IF(AQ142="2",BH142,0)</f>
        <v>0</v>
      </c>
      <c r="AG142" s="28">
        <f>IF(AQ142="2",BI142,0)</f>
        <v>0</v>
      </c>
      <c r="AH142" s="28">
        <f>IF(AQ142="0",BJ142,0)</f>
        <v>0</v>
      </c>
      <c r="AI142" s="37"/>
      <c r="AJ142" s="28">
        <f>IF(AN142=0,L142,0)</f>
        <v>0</v>
      </c>
      <c r="AK142" s="28">
        <f>IF(AN142=15,L142,0)</f>
        <v>0</v>
      </c>
      <c r="AL142" s="28">
        <f>IF(AN142=21,L142,0)</f>
        <v>0</v>
      </c>
      <c r="AN142" s="28">
        <v>21</v>
      </c>
      <c r="AO142" s="28">
        <f>I142*0.503429602888087</f>
        <v>0</v>
      </c>
      <c r="AP142" s="28">
        <f>I142*(1-0.503429602888087)</f>
        <v>0</v>
      </c>
      <c r="AQ142" s="53" t="s">
        <v>141</v>
      </c>
      <c r="AV142" s="28">
        <f>AW142+AX142</f>
        <v>0</v>
      </c>
      <c r="AW142" s="28">
        <f>H142*AO142</f>
        <v>0</v>
      </c>
      <c r="AX142" s="28">
        <f>H142*AP142</f>
        <v>0</v>
      </c>
      <c r="AY142" s="53" t="s">
        <v>353</v>
      </c>
      <c r="AZ142" s="53" t="s">
        <v>354</v>
      </c>
      <c r="BA142" s="37" t="s">
        <v>148</v>
      </c>
      <c r="BC142" s="28">
        <f>AW142+AX142</f>
        <v>0</v>
      </c>
      <c r="BD142" s="28">
        <f>I142/(100-BE142)*100</f>
        <v>0</v>
      </c>
      <c r="BE142" s="28">
        <v>0</v>
      </c>
      <c r="BF142" s="28">
        <f>142</f>
        <v>142</v>
      </c>
      <c r="BH142" s="28">
        <f>H142*AO142</f>
        <v>0</v>
      </c>
      <c r="BI142" s="28">
        <f>H142*AP142</f>
        <v>0</v>
      </c>
      <c r="BJ142" s="28">
        <f>H142*I142</f>
        <v>0</v>
      </c>
      <c r="BK142" s="28" t="s">
        <v>149</v>
      </c>
      <c r="BL142" s="28">
        <v>91</v>
      </c>
    </row>
    <row r="143" spans="1:64" x14ac:dyDescent="0.2">
      <c r="A143" s="3"/>
      <c r="C143" s="54" t="s">
        <v>82</v>
      </c>
      <c r="F143" s="54"/>
      <c r="H143" s="55">
        <v>19</v>
      </c>
      <c r="M143" s="17"/>
      <c r="N143" s="3"/>
    </row>
    <row r="144" spans="1:64" ht="12.75" customHeight="1" x14ac:dyDescent="0.2">
      <c r="A144" s="3"/>
      <c r="B144" s="56" t="s">
        <v>151</v>
      </c>
      <c r="C144" s="99" t="s">
        <v>355</v>
      </c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3"/>
    </row>
    <row r="145" spans="1:64" x14ac:dyDescent="0.2">
      <c r="A145" s="29" t="s">
        <v>356</v>
      </c>
      <c r="B145" s="4" t="s">
        <v>357</v>
      </c>
      <c r="C145" s="81" t="s">
        <v>358</v>
      </c>
      <c r="D145" s="81"/>
      <c r="E145" s="81"/>
      <c r="F145" s="81"/>
      <c r="G145" s="4" t="s">
        <v>164</v>
      </c>
      <c r="H145" s="28">
        <v>171</v>
      </c>
      <c r="I145" s="28">
        <v>0</v>
      </c>
      <c r="J145" s="28">
        <f>H145*AO145</f>
        <v>0</v>
      </c>
      <c r="K145" s="28">
        <f>H145*AP145</f>
        <v>0</v>
      </c>
      <c r="L145" s="28">
        <f>H145*I145</f>
        <v>0</v>
      </c>
      <c r="M145" s="52" t="s">
        <v>145</v>
      </c>
      <c r="N145" s="3"/>
      <c r="Z145" s="28">
        <f>IF(AQ145="5",BJ145,0)</f>
        <v>0</v>
      </c>
      <c r="AB145" s="28">
        <f>IF(AQ145="1",BH145,0)</f>
        <v>0</v>
      </c>
      <c r="AC145" s="28">
        <f>IF(AQ145="1",BI145,0)</f>
        <v>0</v>
      </c>
      <c r="AD145" s="28">
        <f>IF(AQ145="7",BH145,0)</f>
        <v>0</v>
      </c>
      <c r="AE145" s="28">
        <f>IF(AQ145="7",BI145,0)</f>
        <v>0</v>
      </c>
      <c r="AF145" s="28">
        <f>IF(AQ145="2",BH145,0)</f>
        <v>0</v>
      </c>
      <c r="AG145" s="28">
        <f>IF(AQ145="2",BI145,0)</f>
        <v>0</v>
      </c>
      <c r="AH145" s="28">
        <f>IF(AQ145="0",BJ145,0)</f>
        <v>0</v>
      </c>
      <c r="AI145" s="37"/>
      <c r="AJ145" s="28">
        <f>IF(AN145=0,L145,0)</f>
        <v>0</v>
      </c>
      <c r="AK145" s="28">
        <f>IF(AN145=15,L145,0)</f>
        <v>0</v>
      </c>
      <c r="AL145" s="28">
        <f>IF(AN145=21,L145,0)</f>
        <v>0</v>
      </c>
      <c r="AN145" s="28">
        <v>21</v>
      </c>
      <c r="AO145" s="28">
        <f>I145*0.559380097879282</f>
        <v>0</v>
      </c>
      <c r="AP145" s="28">
        <f>I145*(1-0.559380097879282)</f>
        <v>0</v>
      </c>
      <c r="AQ145" s="53" t="s">
        <v>141</v>
      </c>
      <c r="AV145" s="28">
        <f>AW145+AX145</f>
        <v>0</v>
      </c>
      <c r="AW145" s="28">
        <f>H145*AO145</f>
        <v>0</v>
      </c>
      <c r="AX145" s="28">
        <f>H145*AP145</f>
        <v>0</v>
      </c>
      <c r="AY145" s="53" t="s">
        <v>353</v>
      </c>
      <c r="AZ145" s="53" t="s">
        <v>354</v>
      </c>
      <c r="BA145" s="37" t="s">
        <v>148</v>
      </c>
      <c r="BC145" s="28">
        <f>AW145+AX145</f>
        <v>0</v>
      </c>
      <c r="BD145" s="28">
        <f>I145/(100-BE145)*100</f>
        <v>0</v>
      </c>
      <c r="BE145" s="28">
        <v>0</v>
      </c>
      <c r="BF145" s="28">
        <f>145</f>
        <v>145</v>
      </c>
      <c r="BH145" s="28">
        <f>H145*AO145</f>
        <v>0</v>
      </c>
      <c r="BI145" s="28">
        <f>H145*AP145</f>
        <v>0</v>
      </c>
      <c r="BJ145" s="28">
        <f>H145*I145</f>
        <v>0</v>
      </c>
      <c r="BK145" s="28" t="s">
        <v>149</v>
      </c>
      <c r="BL145" s="28">
        <v>91</v>
      </c>
    </row>
    <row r="146" spans="1:64" x14ac:dyDescent="0.2">
      <c r="A146" s="3"/>
      <c r="C146" s="54" t="s">
        <v>359</v>
      </c>
      <c r="F146" s="54"/>
      <c r="H146" s="55">
        <v>171</v>
      </c>
      <c r="M146" s="17"/>
      <c r="N146" s="3"/>
    </row>
    <row r="147" spans="1:64" ht="12.75" customHeight="1" x14ac:dyDescent="0.2">
      <c r="A147" s="3"/>
      <c r="B147" s="56" t="s">
        <v>151</v>
      </c>
      <c r="C147" s="99" t="s">
        <v>360</v>
      </c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3"/>
    </row>
    <row r="148" spans="1:64" x14ac:dyDescent="0.2">
      <c r="A148" s="29" t="s">
        <v>88</v>
      </c>
      <c r="B148" s="4" t="s">
        <v>361</v>
      </c>
      <c r="C148" s="81" t="s">
        <v>362</v>
      </c>
      <c r="D148" s="81"/>
      <c r="E148" s="81"/>
      <c r="F148" s="81"/>
      <c r="G148" s="4" t="s">
        <v>315</v>
      </c>
      <c r="H148" s="28">
        <v>90.9</v>
      </c>
      <c r="I148" s="28">
        <v>0</v>
      </c>
      <c r="J148" s="28">
        <f>H148*AO148</f>
        <v>0</v>
      </c>
      <c r="K148" s="28">
        <f>H148*AP148</f>
        <v>0</v>
      </c>
      <c r="L148" s="28">
        <f>H148*I148</f>
        <v>0</v>
      </c>
      <c r="M148" s="52" t="s">
        <v>145</v>
      </c>
      <c r="N148" s="3"/>
      <c r="Z148" s="28">
        <f>IF(AQ148="5",BJ148,0)</f>
        <v>0</v>
      </c>
      <c r="AB148" s="28">
        <f>IF(AQ148="1",BH148,0)</f>
        <v>0</v>
      </c>
      <c r="AC148" s="28">
        <f>IF(AQ148="1",BI148,0)</f>
        <v>0</v>
      </c>
      <c r="AD148" s="28">
        <f>IF(AQ148="7",BH148,0)</f>
        <v>0</v>
      </c>
      <c r="AE148" s="28">
        <f>IF(AQ148="7",BI148,0)</f>
        <v>0</v>
      </c>
      <c r="AF148" s="28">
        <f>IF(AQ148="2",BH148,0)</f>
        <v>0</v>
      </c>
      <c r="AG148" s="28">
        <f>IF(AQ148="2",BI148,0)</f>
        <v>0</v>
      </c>
      <c r="AH148" s="28">
        <f>IF(AQ148="0",BJ148,0)</f>
        <v>0</v>
      </c>
      <c r="AI148" s="37"/>
      <c r="AJ148" s="28">
        <f>IF(AN148=0,L148,0)</f>
        <v>0</v>
      </c>
      <c r="AK148" s="28">
        <f>IF(AN148=15,L148,0)</f>
        <v>0</v>
      </c>
      <c r="AL148" s="28">
        <f>IF(AN148=21,L148,0)</f>
        <v>0</v>
      </c>
      <c r="AN148" s="28">
        <v>21</v>
      </c>
      <c r="AO148" s="28">
        <f>I148*1</f>
        <v>0</v>
      </c>
      <c r="AP148" s="28">
        <f>I148*(1-1)</f>
        <v>0</v>
      </c>
      <c r="AQ148" s="53" t="s">
        <v>141</v>
      </c>
      <c r="AV148" s="28">
        <f>AW148+AX148</f>
        <v>0</v>
      </c>
      <c r="AW148" s="28">
        <f>H148*AO148</f>
        <v>0</v>
      </c>
      <c r="AX148" s="28">
        <f>H148*AP148</f>
        <v>0</v>
      </c>
      <c r="AY148" s="53" t="s">
        <v>353</v>
      </c>
      <c r="AZ148" s="53" t="s">
        <v>354</v>
      </c>
      <c r="BA148" s="37" t="s">
        <v>148</v>
      </c>
      <c r="BC148" s="28">
        <f>AW148+AX148</f>
        <v>0</v>
      </c>
      <c r="BD148" s="28">
        <f>I148/(100-BE148)*100</f>
        <v>0</v>
      </c>
      <c r="BE148" s="28">
        <v>0</v>
      </c>
      <c r="BF148" s="28">
        <f>148</f>
        <v>148</v>
      </c>
      <c r="BH148" s="28">
        <f>H148*AO148</f>
        <v>0</v>
      </c>
      <c r="BI148" s="28">
        <f>H148*AP148</f>
        <v>0</v>
      </c>
      <c r="BJ148" s="28">
        <f>H148*I148</f>
        <v>0</v>
      </c>
      <c r="BK148" s="28" t="s">
        <v>205</v>
      </c>
      <c r="BL148" s="28">
        <v>91</v>
      </c>
    </row>
    <row r="149" spans="1:64" x14ac:dyDescent="0.2">
      <c r="A149" s="3"/>
      <c r="C149" s="54" t="s">
        <v>363</v>
      </c>
      <c r="F149" s="54"/>
      <c r="H149" s="55">
        <v>90</v>
      </c>
      <c r="M149" s="17"/>
      <c r="N149" s="3"/>
    </row>
    <row r="150" spans="1:64" x14ac:dyDescent="0.2">
      <c r="A150" s="3"/>
      <c r="C150" s="54" t="s">
        <v>364</v>
      </c>
      <c r="F150" s="54"/>
      <c r="H150" s="55">
        <v>0.9</v>
      </c>
      <c r="M150" s="17"/>
      <c r="N150" s="3"/>
    </row>
    <row r="151" spans="1:64" ht="12.75" customHeight="1" x14ac:dyDescent="0.2">
      <c r="A151" s="3"/>
      <c r="B151" s="56" t="s">
        <v>151</v>
      </c>
      <c r="C151" s="99" t="s">
        <v>365</v>
      </c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3"/>
    </row>
    <row r="152" spans="1:64" x14ac:dyDescent="0.2">
      <c r="A152" s="29" t="s">
        <v>366</v>
      </c>
      <c r="B152" s="4" t="s">
        <v>367</v>
      </c>
      <c r="C152" s="81" t="s">
        <v>368</v>
      </c>
      <c r="D152" s="81"/>
      <c r="E152" s="81"/>
      <c r="F152" s="81"/>
      <c r="G152" s="4" t="s">
        <v>315</v>
      </c>
      <c r="H152" s="28">
        <v>67.67</v>
      </c>
      <c r="I152" s="28">
        <v>0</v>
      </c>
      <c r="J152" s="28">
        <f>H152*AO152</f>
        <v>0</v>
      </c>
      <c r="K152" s="28">
        <f>H152*AP152</f>
        <v>0</v>
      </c>
      <c r="L152" s="28">
        <f>H152*I152</f>
        <v>0</v>
      </c>
      <c r="M152" s="52" t="s">
        <v>145</v>
      </c>
      <c r="N152" s="3"/>
      <c r="Z152" s="28">
        <f>IF(AQ152="5",BJ152,0)</f>
        <v>0</v>
      </c>
      <c r="AB152" s="28">
        <f>IF(AQ152="1",BH152,0)</f>
        <v>0</v>
      </c>
      <c r="AC152" s="28">
        <f>IF(AQ152="1",BI152,0)</f>
        <v>0</v>
      </c>
      <c r="AD152" s="28">
        <f>IF(AQ152="7",BH152,0)</f>
        <v>0</v>
      </c>
      <c r="AE152" s="28">
        <f>IF(AQ152="7",BI152,0)</f>
        <v>0</v>
      </c>
      <c r="AF152" s="28">
        <f>IF(AQ152="2",BH152,0)</f>
        <v>0</v>
      </c>
      <c r="AG152" s="28">
        <f>IF(AQ152="2",BI152,0)</f>
        <v>0</v>
      </c>
      <c r="AH152" s="28">
        <f>IF(AQ152="0",BJ152,0)</f>
        <v>0</v>
      </c>
      <c r="AI152" s="37"/>
      <c r="AJ152" s="28">
        <f>IF(AN152=0,L152,0)</f>
        <v>0</v>
      </c>
      <c r="AK152" s="28">
        <f>IF(AN152=15,L152,0)</f>
        <v>0</v>
      </c>
      <c r="AL152" s="28">
        <f>IF(AN152=21,L152,0)</f>
        <v>0</v>
      </c>
      <c r="AN152" s="28">
        <v>21</v>
      </c>
      <c r="AO152" s="28">
        <f>I152*1</f>
        <v>0</v>
      </c>
      <c r="AP152" s="28">
        <f>I152*(1-1)</f>
        <v>0</v>
      </c>
      <c r="AQ152" s="53" t="s">
        <v>141</v>
      </c>
      <c r="AV152" s="28">
        <f>AW152+AX152</f>
        <v>0</v>
      </c>
      <c r="AW152" s="28">
        <f>H152*AO152</f>
        <v>0</v>
      </c>
      <c r="AX152" s="28">
        <f>H152*AP152</f>
        <v>0</v>
      </c>
      <c r="AY152" s="53" t="s">
        <v>353</v>
      </c>
      <c r="AZ152" s="53" t="s">
        <v>354</v>
      </c>
      <c r="BA152" s="37" t="s">
        <v>148</v>
      </c>
      <c r="BC152" s="28">
        <f>AW152+AX152</f>
        <v>0</v>
      </c>
      <c r="BD152" s="28">
        <f>I152/(100-BE152)*100</f>
        <v>0</v>
      </c>
      <c r="BE152" s="28">
        <v>0</v>
      </c>
      <c r="BF152" s="28">
        <f>152</f>
        <v>152</v>
      </c>
      <c r="BH152" s="28">
        <f>H152*AO152</f>
        <v>0</v>
      </c>
      <c r="BI152" s="28">
        <f>H152*AP152</f>
        <v>0</v>
      </c>
      <c r="BJ152" s="28">
        <f>H152*I152</f>
        <v>0</v>
      </c>
      <c r="BK152" s="28" t="s">
        <v>205</v>
      </c>
      <c r="BL152" s="28">
        <v>91</v>
      </c>
    </row>
    <row r="153" spans="1:64" x14ac:dyDescent="0.2">
      <c r="A153" s="3"/>
      <c r="C153" s="54" t="s">
        <v>369</v>
      </c>
      <c r="F153" s="54"/>
      <c r="H153" s="55">
        <v>67</v>
      </c>
      <c r="M153" s="17"/>
      <c r="N153" s="3"/>
    </row>
    <row r="154" spans="1:64" x14ac:dyDescent="0.2">
      <c r="A154" s="3"/>
      <c r="C154" s="54" t="s">
        <v>370</v>
      </c>
      <c r="F154" s="54"/>
      <c r="H154" s="55">
        <v>0.67</v>
      </c>
      <c r="M154" s="17"/>
      <c r="N154" s="3"/>
    </row>
    <row r="155" spans="1:64" x14ac:dyDescent="0.2">
      <c r="A155" s="29" t="s">
        <v>371</v>
      </c>
      <c r="B155" s="4" t="s">
        <v>372</v>
      </c>
      <c r="C155" s="81" t="s">
        <v>373</v>
      </c>
      <c r="D155" s="81"/>
      <c r="E155" s="81"/>
      <c r="F155" s="81"/>
      <c r="G155" s="4" t="s">
        <v>315</v>
      </c>
      <c r="H155" s="28">
        <v>14.14</v>
      </c>
      <c r="I155" s="28">
        <v>0</v>
      </c>
      <c r="J155" s="28">
        <f>H155*AO155</f>
        <v>0</v>
      </c>
      <c r="K155" s="28">
        <f>H155*AP155</f>
        <v>0</v>
      </c>
      <c r="L155" s="28">
        <f>H155*I155</f>
        <v>0</v>
      </c>
      <c r="M155" s="52" t="s">
        <v>145</v>
      </c>
      <c r="N155" s="3"/>
      <c r="Z155" s="28">
        <f>IF(AQ155="5",BJ155,0)</f>
        <v>0</v>
      </c>
      <c r="AB155" s="28">
        <f>IF(AQ155="1",BH155,0)</f>
        <v>0</v>
      </c>
      <c r="AC155" s="28">
        <f>IF(AQ155="1",BI155,0)</f>
        <v>0</v>
      </c>
      <c r="AD155" s="28">
        <f>IF(AQ155="7",BH155,0)</f>
        <v>0</v>
      </c>
      <c r="AE155" s="28">
        <f>IF(AQ155="7",BI155,0)</f>
        <v>0</v>
      </c>
      <c r="AF155" s="28">
        <f>IF(AQ155="2",BH155,0)</f>
        <v>0</v>
      </c>
      <c r="AG155" s="28">
        <f>IF(AQ155="2",BI155,0)</f>
        <v>0</v>
      </c>
      <c r="AH155" s="28">
        <f>IF(AQ155="0",BJ155,0)</f>
        <v>0</v>
      </c>
      <c r="AI155" s="37"/>
      <c r="AJ155" s="28">
        <f>IF(AN155=0,L155,0)</f>
        <v>0</v>
      </c>
      <c r="AK155" s="28">
        <f>IF(AN155=15,L155,0)</f>
        <v>0</v>
      </c>
      <c r="AL155" s="28">
        <f>IF(AN155=21,L155,0)</f>
        <v>0</v>
      </c>
      <c r="AN155" s="28">
        <v>21</v>
      </c>
      <c r="AO155" s="28">
        <f>I155*1</f>
        <v>0</v>
      </c>
      <c r="AP155" s="28">
        <f>I155*(1-1)</f>
        <v>0</v>
      </c>
      <c r="AQ155" s="53" t="s">
        <v>141</v>
      </c>
      <c r="AV155" s="28">
        <f>AW155+AX155</f>
        <v>0</v>
      </c>
      <c r="AW155" s="28">
        <f>H155*AO155</f>
        <v>0</v>
      </c>
      <c r="AX155" s="28">
        <f>H155*AP155</f>
        <v>0</v>
      </c>
      <c r="AY155" s="53" t="s">
        <v>353</v>
      </c>
      <c r="AZ155" s="53" t="s">
        <v>354</v>
      </c>
      <c r="BA155" s="37" t="s">
        <v>148</v>
      </c>
      <c r="BC155" s="28">
        <f>AW155+AX155</f>
        <v>0</v>
      </c>
      <c r="BD155" s="28">
        <f>I155/(100-BE155)*100</f>
        <v>0</v>
      </c>
      <c r="BE155" s="28">
        <v>0</v>
      </c>
      <c r="BF155" s="28">
        <f>155</f>
        <v>155</v>
      </c>
      <c r="BH155" s="28">
        <f>H155*AO155</f>
        <v>0</v>
      </c>
      <c r="BI155" s="28">
        <f>H155*AP155</f>
        <v>0</v>
      </c>
      <c r="BJ155" s="28">
        <f>H155*I155</f>
        <v>0</v>
      </c>
      <c r="BK155" s="28" t="s">
        <v>205</v>
      </c>
      <c r="BL155" s="28">
        <v>91</v>
      </c>
    </row>
    <row r="156" spans="1:64" x14ac:dyDescent="0.2">
      <c r="A156" s="3"/>
      <c r="C156" s="54" t="s">
        <v>220</v>
      </c>
      <c r="F156" s="54"/>
      <c r="H156" s="55">
        <v>14</v>
      </c>
      <c r="M156" s="17"/>
      <c r="N156" s="3"/>
    </row>
    <row r="157" spans="1:64" x14ac:dyDescent="0.2">
      <c r="A157" s="3"/>
      <c r="C157" s="54" t="s">
        <v>374</v>
      </c>
      <c r="F157" s="54"/>
      <c r="H157" s="55">
        <v>0.14000000000000001</v>
      </c>
      <c r="M157" s="17"/>
      <c r="N157" s="3"/>
    </row>
    <row r="158" spans="1:64" ht="12.75" customHeight="1" x14ac:dyDescent="0.2">
      <c r="A158" s="3"/>
      <c r="B158" s="56" t="s">
        <v>151</v>
      </c>
      <c r="C158" s="99" t="s">
        <v>375</v>
      </c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3"/>
    </row>
    <row r="159" spans="1:64" x14ac:dyDescent="0.2">
      <c r="A159" s="29" t="s">
        <v>376</v>
      </c>
      <c r="B159" s="4" t="s">
        <v>377</v>
      </c>
      <c r="C159" s="81" t="s">
        <v>378</v>
      </c>
      <c r="D159" s="81"/>
      <c r="E159" s="81"/>
      <c r="F159" s="81"/>
      <c r="G159" s="4" t="s">
        <v>164</v>
      </c>
      <c r="H159" s="28">
        <v>34</v>
      </c>
      <c r="I159" s="28">
        <v>0</v>
      </c>
      <c r="J159" s="28">
        <f>H159*AO159</f>
        <v>0</v>
      </c>
      <c r="K159" s="28">
        <f>H159*AP159</f>
        <v>0</v>
      </c>
      <c r="L159" s="28">
        <f>H159*I159</f>
        <v>0</v>
      </c>
      <c r="M159" s="52"/>
      <c r="N159" s="3"/>
      <c r="Z159" s="28">
        <f>IF(AQ159="5",BJ159,0)</f>
        <v>0</v>
      </c>
      <c r="AB159" s="28">
        <f>IF(AQ159="1",BH159,0)</f>
        <v>0</v>
      </c>
      <c r="AC159" s="28">
        <f>IF(AQ159="1",BI159,0)</f>
        <v>0</v>
      </c>
      <c r="AD159" s="28">
        <f>IF(AQ159="7",BH159,0)</f>
        <v>0</v>
      </c>
      <c r="AE159" s="28">
        <f>IF(AQ159="7",BI159,0)</f>
        <v>0</v>
      </c>
      <c r="AF159" s="28">
        <f>IF(AQ159="2",BH159,0)</f>
        <v>0</v>
      </c>
      <c r="AG159" s="28">
        <f>IF(AQ159="2",BI159,0)</f>
        <v>0</v>
      </c>
      <c r="AH159" s="28">
        <f>IF(AQ159="0",BJ159,0)</f>
        <v>0</v>
      </c>
      <c r="AI159" s="37"/>
      <c r="AJ159" s="28">
        <f>IF(AN159=0,L159,0)</f>
        <v>0</v>
      </c>
      <c r="AK159" s="28">
        <f>IF(AN159=15,L159,0)</f>
        <v>0</v>
      </c>
      <c r="AL159" s="28">
        <f>IF(AN159=21,L159,0)</f>
        <v>0</v>
      </c>
      <c r="AN159" s="28">
        <v>21</v>
      </c>
      <c r="AO159" s="28">
        <f>I159*0.103331895622169</f>
        <v>0</v>
      </c>
      <c r="AP159" s="28">
        <f>I159*(1-0.103331895622169)</f>
        <v>0</v>
      </c>
      <c r="AQ159" s="53" t="s">
        <v>141</v>
      </c>
      <c r="AV159" s="28">
        <f>AW159+AX159</f>
        <v>0</v>
      </c>
      <c r="AW159" s="28">
        <f>H159*AO159</f>
        <v>0</v>
      </c>
      <c r="AX159" s="28">
        <f>H159*AP159</f>
        <v>0</v>
      </c>
      <c r="AY159" s="53" t="s">
        <v>353</v>
      </c>
      <c r="AZ159" s="53" t="s">
        <v>354</v>
      </c>
      <c r="BA159" s="37" t="s">
        <v>148</v>
      </c>
      <c r="BC159" s="28">
        <f>AW159+AX159</f>
        <v>0</v>
      </c>
      <c r="BD159" s="28">
        <f>I159/(100-BE159)*100</f>
        <v>0</v>
      </c>
      <c r="BE159" s="28">
        <v>0</v>
      </c>
      <c r="BF159" s="28">
        <f>159</f>
        <v>159</v>
      </c>
      <c r="BH159" s="28">
        <f>H159*AO159</f>
        <v>0</v>
      </c>
      <c r="BI159" s="28">
        <f>H159*AP159</f>
        <v>0</v>
      </c>
      <c r="BJ159" s="28">
        <f>H159*I159</f>
        <v>0</v>
      </c>
      <c r="BK159" s="28" t="s">
        <v>149</v>
      </c>
      <c r="BL159" s="28">
        <v>91</v>
      </c>
    </row>
    <row r="160" spans="1:64" ht="12.75" customHeight="1" x14ac:dyDescent="0.2">
      <c r="A160" s="3"/>
      <c r="B160" s="56" t="s">
        <v>172</v>
      </c>
      <c r="C160" s="102" t="s">
        <v>379</v>
      </c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3"/>
    </row>
    <row r="161" spans="1:64" x14ac:dyDescent="0.2">
      <c r="A161" s="3"/>
      <c r="C161" s="54" t="s">
        <v>380</v>
      </c>
      <c r="F161" s="54"/>
      <c r="H161" s="55">
        <v>34</v>
      </c>
      <c r="M161" s="17"/>
      <c r="N161" s="3"/>
    </row>
    <row r="162" spans="1:64" x14ac:dyDescent="0.2">
      <c r="A162" s="57"/>
      <c r="B162" s="58" t="s">
        <v>102</v>
      </c>
      <c r="C162" s="101" t="s">
        <v>103</v>
      </c>
      <c r="D162" s="101"/>
      <c r="E162" s="101"/>
      <c r="F162" s="101"/>
      <c r="G162" s="59" t="s">
        <v>61</v>
      </c>
      <c r="H162" s="59" t="s">
        <v>61</v>
      </c>
      <c r="I162" s="59" t="s">
        <v>61</v>
      </c>
      <c r="J162" s="51">
        <f>SUM(J163:J167)</f>
        <v>0</v>
      </c>
      <c r="K162" s="51">
        <f>SUM(K163:K167)</f>
        <v>0</v>
      </c>
      <c r="L162" s="51">
        <f>SUM(L163:L167)</f>
        <v>0</v>
      </c>
      <c r="M162" s="60"/>
      <c r="N162" s="3"/>
      <c r="AI162" s="37"/>
      <c r="AS162" s="51">
        <f>SUM(AJ163:AJ167)</f>
        <v>0</v>
      </c>
      <c r="AT162" s="51">
        <f>SUM(AK163:AK167)</f>
        <v>0</v>
      </c>
      <c r="AU162" s="51">
        <f>SUM(AL163:AL167)</f>
        <v>0</v>
      </c>
    </row>
    <row r="163" spans="1:64" x14ac:dyDescent="0.2">
      <c r="A163" s="29" t="s">
        <v>381</v>
      </c>
      <c r="B163" s="4" t="s">
        <v>382</v>
      </c>
      <c r="C163" s="81" t="s">
        <v>383</v>
      </c>
      <c r="D163" s="81"/>
      <c r="E163" s="81"/>
      <c r="F163" s="81"/>
      <c r="G163" s="4" t="s">
        <v>164</v>
      </c>
      <c r="H163" s="28">
        <v>10</v>
      </c>
      <c r="I163" s="28">
        <v>0</v>
      </c>
      <c r="J163" s="28">
        <f>H163*AO163</f>
        <v>0</v>
      </c>
      <c r="K163" s="28">
        <f>H163*AP163</f>
        <v>0</v>
      </c>
      <c r="L163" s="28">
        <f>H163*I163</f>
        <v>0</v>
      </c>
      <c r="M163" s="52" t="s">
        <v>145</v>
      </c>
      <c r="N163" s="3"/>
      <c r="Z163" s="28">
        <f>IF(AQ163="5",BJ163,0)</f>
        <v>0</v>
      </c>
      <c r="AB163" s="28">
        <f>IF(AQ163="1",BH163,0)</f>
        <v>0</v>
      </c>
      <c r="AC163" s="28">
        <f>IF(AQ163="1",BI163,0)</f>
        <v>0</v>
      </c>
      <c r="AD163" s="28">
        <f>IF(AQ163="7",BH163,0)</f>
        <v>0</v>
      </c>
      <c r="AE163" s="28">
        <f>IF(AQ163="7",BI163,0)</f>
        <v>0</v>
      </c>
      <c r="AF163" s="28">
        <f>IF(AQ163="2",BH163,0)</f>
        <v>0</v>
      </c>
      <c r="AG163" s="28">
        <f>IF(AQ163="2",BI163,0)</f>
        <v>0</v>
      </c>
      <c r="AH163" s="28">
        <f>IF(AQ163="0",BJ163,0)</f>
        <v>0</v>
      </c>
      <c r="AI163" s="37"/>
      <c r="AJ163" s="28">
        <f>IF(AN163=0,L163,0)</f>
        <v>0</v>
      </c>
      <c r="AK163" s="28">
        <f>IF(AN163=15,L163,0)</f>
        <v>0</v>
      </c>
      <c r="AL163" s="28">
        <f>IF(AN163=21,L163,0)</f>
        <v>0</v>
      </c>
      <c r="AN163" s="28">
        <v>21</v>
      </c>
      <c r="AO163" s="28">
        <f>I163*0.955583333333333</f>
        <v>0</v>
      </c>
      <c r="AP163" s="28">
        <f>I163*(1-0.955583333333333)</f>
        <v>0</v>
      </c>
      <c r="AQ163" s="53" t="s">
        <v>153</v>
      </c>
      <c r="AV163" s="28">
        <f>AW163+AX163</f>
        <v>0</v>
      </c>
      <c r="AW163" s="28">
        <f>H163*AO163</f>
        <v>0</v>
      </c>
      <c r="AX163" s="28">
        <f>H163*AP163</f>
        <v>0</v>
      </c>
      <c r="AY163" s="53" t="s">
        <v>384</v>
      </c>
      <c r="AZ163" s="53" t="s">
        <v>354</v>
      </c>
      <c r="BA163" s="37" t="s">
        <v>148</v>
      </c>
      <c r="BC163" s="28">
        <f>AW163+AX163</f>
        <v>0</v>
      </c>
      <c r="BD163" s="28">
        <f>I163/(100-BE163)*100</f>
        <v>0</v>
      </c>
      <c r="BE163" s="28">
        <v>0</v>
      </c>
      <c r="BF163" s="28">
        <f>163</f>
        <v>163</v>
      </c>
      <c r="BH163" s="28">
        <f>H163*AO163</f>
        <v>0</v>
      </c>
      <c r="BI163" s="28">
        <f>H163*AP163</f>
        <v>0</v>
      </c>
      <c r="BJ163" s="28">
        <f>H163*I163</f>
        <v>0</v>
      </c>
      <c r="BK163" s="28" t="s">
        <v>149</v>
      </c>
      <c r="BL163" s="28" t="s">
        <v>102</v>
      </c>
    </row>
    <row r="164" spans="1:64" ht="12.75" customHeight="1" x14ac:dyDescent="0.2">
      <c r="A164" s="3"/>
      <c r="B164" s="56" t="s">
        <v>172</v>
      </c>
      <c r="C164" s="102" t="s">
        <v>385</v>
      </c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3"/>
    </row>
    <row r="165" spans="1:64" x14ac:dyDescent="0.2">
      <c r="A165" s="3"/>
      <c r="C165" s="54" t="s">
        <v>201</v>
      </c>
      <c r="F165" s="54"/>
      <c r="H165" s="55">
        <v>10</v>
      </c>
      <c r="M165" s="17"/>
      <c r="N165" s="3"/>
    </row>
    <row r="166" spans="1:64" ht="12.75" customHeight="1" x14ac:dyDescent="0.2">
      <c r="A166" s="3"/>
      <c r="B166" s="56" t="s">
        <v>151</v>
      </c>
      <c r="C166" s="99" t="s">
        <v>386</v>
      </c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3"/>
    </row>
    <row r="167" spans="1:64" x14ac:dyDescent="0.2">
      <c r="A167" s="29" t="s">
        <v>387</v>
      </c>
      <c r="B167" s="4" t="s">
        <v>388</v>
      </c>
      <c r="C167" s="81" t="s">
        <v>389</v>
      </c>
      <c r="D167" s="81"/>
      <c r="E167" s="81"/>
      <c r="F167" s="81"/>
      <c r="G167" s="4" t="s">
        <v>144</v>
      </c>
      <c r="H167" s="28">
        <v>461</v>
      </c>
      <c r="I167" s="28">
        <v>0</v>
      </c>
      <c r="J167" s="28">
        <f>H167*AO167</f>
        <v>0</v>
      </c>
      <c r="K167" s="28">
        <f>H167*AP167</f>
        <v>0</v>
      </c>
      <c r="L167" s="28">
        <f>H167*I167</f>
        <v>0</v>
      </c>
      <c r="M167" s="52" t="s">
        <v>145</v>
      </c>
      <c r="N167" s="3"/>
      <c r="Z167" s="28">
        <f>IF(AQ167="5",BJ167,0)</f>
        <v>0</v>
      </c>
      <c r="AB167" s="28">
        <f>IF(AQ167="1",BH167,0)</f>
        <v>0</v>
      </c>
      <c r="AC167" s="28">
        <f>IF(AQ167="1",BI167,0)</f>
        <v>0</v>
      </c>
      <c r="AD167" s="28">
        <f>IF(AQ167="7",BH167,0)</f>
        <v>0</v>
      </c>
      <c r="AE167" s="28">
        <f>IF(AQ167="7",BI167,0)</f>
        <v>0</v>
      </c>
      <c r="AF167" s="28">
        <f>IF(AQ167="2",BH167,0)</f>
        <v>0</v>
      </c>
      <c r="AG167" s="28">
        <f>IF(AQ167="2",BI167,0)</f>
        <v>0</v>
      </c>
      <c r="AH167" s="28">
        <f>IF(AQ167="0",BJ167,0)</f>
        <v>0</v>
      </c>
      <c r="AI167" s="37"/>
      <c r="AJ167" s="28">
        <f>IF(AN167=0,L167,0)</f>
        <v>0</v>
      </c>
      <c r="AK167" s="28">
        <f>IF(AN167=15,L167,0)</f>
        <v>0</v>
      </c>
      <c r="AL167" s="28">
        <f>IF(AN167=21,L167,0)</f>
        <v>0</v>
      </c>
      <c r="AN167" s="28">
        <v>21</v>
      </c>
      <c r="AO167" s="28">
        <f>I167*0.101214574898785</f>
        <v>0</v>
      </c>
      <c r="AP167" s="28">
        <f>I167*(1-0.101214574898785)</f>
        <v>0</v>
      </c>
      <c r="AQ167" s="53" t="s">
        <v>153</v>
      </c>
      <c r="AV167" s="28">
        <f>AW167+AX167</f>
        <v>0</v>
      </c>
      <c r="AW167" s="28">
        <f>H167*AO167</f>
        <v>0</v>
      </c>
      <c r="AX167" s="28">
        <f>H167*AP167</f>
        <v>0</v>
      </c>
      <c r="AY167" s="53" t="s">
        <v>384</v>
      </c>
      <c r="AZ167" s="53" t="s">
        <v>354</v>
      </c>
      <c r="BA167" s="37" t="s">
        <v>148</v>
      </c>
      <c r="BC167" s="28">
        <f>AW167+AX167</f>
        <v>0</v>
      </c>
      <c r="BD167" s="28">
        <f>I167/(100-BE167)*100</f>
        <v>0</v>
      </c>
      <c r="BE167" s="28">
        <v>0</v>
      </c>
      <c r="BF167" s="28">
        <f>167</f>
        <v>167</v>
      </c>
      <c r="BH167" s="28">
        <f>H167*AO167</f>
        <v>0</v>
      </c>
      <c r="BI167" s="28">
        <f>H167*AP167</f>
        <v>0</v>
      </c>
      <c r="BJ167" s="28">
        <f>H167*I167</f>
        <v>0</v>
      </c>
      <c r="BK167" s="28" t="s">
        <v>149</v>
      </c>
      <c r="BL167" s="28" t="s">
        <v>102</v>
      </c>
    </row>
    <row r="168" spans="1:64" ht="12.75" customHeight="1" x14ac:dyDescent="0.2">
      <c r="A168" s="3"/>
      <c r="B168" s="56" t="s">
        <v>172</v>
      </c>
      <c r="C168" s="102" t="s">
        <v>390</v>
      </c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3"/>
    </row>
    <row r="169" spans="1:64" x14ac:dyDescent="0.2">
      <c r="A169" s="3"/>
      <c r="C169" s="54" t="s">
        <v>391</v>
      </c>
      <c r="F169" s="54"/>
      <c r="H169" s="55">
        <v>461</v>
      </c>
      <c r="M169" s="17"/>
      <c r="N169" s="3"/>
    </row>
    <row r="170" spans="1:64" x14ac:dyDescent="0.2">
      <c r="A170" s="57"/>
      <c r="B170" s="58" t="s">
        <v>104</v>
      </c>
      <c r="C170" s="101" t="s">
        <v>105</v>
      </c>
      <c r="D170" s="101"/>
      <c r="E170" s="101"/>
      <c r="F170" s="101"/>
      <c r="G170" s="59" t="s">
        <v>61</v>
      </c>
      <c r="H170" s="59" t="s">
        <v>61</v>
      </c>
      <c r="I170" s="59" t="s">
        <v>61</v>
      </c>
      <c r="J170" s="51">
        <f>SUM(J171:J182)</f>
        <v>0</v>
      </c>
      <c r="K170" s="51">
        <f>SUM(K171:K182)</f>
        <v>0</v>
      </c>
      <c r="L170" s="51">
        <f>SUM(L171:L182)</f>
        <v>0</v>
      </c>
      <c r="M170" s="60"/>
      <c r="N170" s="3"/>
      <c r="AI170" s="37"/>
      <c r="AS170" s="51">
        <f>SUM(AJ171:AJ182)</f>
        <v>0</v>
      </c>
      <c r="AT170" s="51">
        <f>SUM(AK171:AK182)</f>
        <v>0</v>
      </c>
      <c r="AU170" s="51">
        <f>SUM(AL171:AL182)</f>
        <v>0</v>
      </c>
    </row>
    <row r="171" spans="1:64" x14ac:dyDescent="0.2">
      <c r="A171" s="29" t="s">
        <v>392</v>
      </c>
      <c r="B171" s="4" t="s">
        <v>393</v>
      </c>
      <c r="C171" s="81" t="s">
        <v>394</v>
      </c>
      <c r="D171" s="81"/>
      <c r="E171" s="81"/>
      <c r="F171" s="81"/>
      <c r="G171" s="4" t="s">
        <v>204</v>
      </c>
      <c r="H171" s="28">
        <v>985.6</v>
      </c>
      <c r="I171" s="28">
        <v>0</v>
      </c>
      <c r="J171" s="28">
        <f>H171*AO171</f>
        <v>0</v>
      </c>
      <c r="K171" s="28">
        <f>H171*AP171</f>
        <v>0</v>
      </c>
      <c r="L171" s="28">
        <f>H171*I171</f>
        <v>0</v>
      </c>
      <c r="M171" s="52" t="s">
        <v>145</v>
      </c>
      <c r="N171" s="3"/>
      <c r="Z171" s="28">
        <f>IF(AQ171="5",BJ171,0)</f>
        <v>0</v>
      </c>
      <c r="AB171" s="28">
        <f>IF(AQ171="1",BH171,0)</f>
        <v>0</v>
      </c>
      <c r="AC171" s="28">
        <f>IF(AQ171="1",BI171,0)</f>
        <v>0</v>
      </c>
      <c r="AD171" s="28">
        <f>IF(AQ171="7",BH171,0)</f>
        <v>0</v>
      </c>
      <c r="AE171" s="28">
        <f>IF(AQ171="7",BI171,0)</f>
        <v>0</v>
      </c>
      <c r="AF171" s="28">
        <f>IF(AQ171="2",BH171,0)</f>
        <v>0</v>
      </c>
      <c r="AG171" s="28">
        <f>IF(AQ171="2",BI171,0)</f>
        <v>0</v>
      </c>
      <c r="AH171" s="28">
        <f>IF(AQ171="0",BJ171,0)</f>
        <v>0</v>
      </c>
      <c r="AI171" s="37"/>
      <c r="AJ171" s="28">
        <f>IF(AN171=0,L171,0)</f>
        <v>0</v>
      </c>
      <c r="AK171" s="28">
        <f>IF(AN171=15,L171,0)</f>
        <v>0</v>
      </c>
      <c r="AL171" s="28">
        <f>IF(AN171=21,L171,0)</f>
        <v>0</v>
      </c>
      <c r="AN171" s="28">
        <v>21</v>
      </c>
      <c r="AO171" s="28">
        <f>I171*0.00978962131837306</f>
        <v>0</v>
      </c>
      <c r="AP171" s="28">
        <f>I171*(1-0.00978962131837306)</f>
        <v>0</v>
      </c>
      <c r="AQ171" s="53" t="s">
        <v>167</v>
      </c>
      <c r="AV171" s="28">
        <f>AW171+AX171</f>
        <v>0</v>
      </c>
      <c r="AW171" s="28">
        <f>H171*AO171</f>
        <v>0</v>
      </c>
      <c r="AX171" s="28">
        <f>H171*AP171</f>
        <v>0</v>
      </c>
      <c r="AY171" s="53" t="s">
        <v>395</v>
      </c>
      <c r="AZ171" s="53" t="s">
        <v>354</v>
      </c>
      <c r="BA171" s="37" t="s">
        <v>148</v>
      </c>
      <c r="BC171" s="28">
        <f>AW171+AX171</f>
        <v>0</v>
      </c>
      <c r="BD171" s="28">
        <f>I171/(100-BE171)*100</f>
        <v>0</v>
      </c>
      <c r="BE171" s="28">
        <v>0</v>
      </c>
      <c r="BF171" s="28">
        <f>171</f>
        <v>171</v>
      </c>
      <c r="BH171" s="28">
        <f>H171*AO171</f>
        <v>0</v>
      </c>
      <c r="BI171" s="28">
        <f>H171*AP171</f>
        <v>0</v>
      </c>
      <c r="BJ171" s="28">
        <f>H171*I171</f>
        <v>0</v>
      </c>
      <c r="BK171" s="28" t="s">
        <v>149</v>
      </c>
      <c r="BL171" s="28" t="s">
        <v>104</v>
      </c>
    </row>
    <row r="172" spans="1:64" ht="12.75" customHeight="1" x14ac:dyDescent="0.2">
      <c r="A172" s="3"/>
      <c r="B172" s="56" t="s">
        <v>151</v>
      </c>
      <c r="C172" s="99" t="s">
        <v>396</v>
      </c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3"/>
    </row>
    <row r="173" spans="1:64" x14ac:dyDescent="0.2">
      <c r="A173" s="29" t="s">
        <v>397</v>
      </c>
      <c r="B173" s="4" t="s">
        <v>398</v>
      </c>
      <c r="C173" s="81" t="s">
        <v>399</v>
      </c>
      <c r="D173" s="81"/>
      <c r="E173" s="81"/>
      <c r="F173" s="81"/>
      <c r="G173" s="4" t="s">
        <v>204</v>
      </c>
      <c r="H173" s="28">
        <v>8060.4</v>
      </c>
      <c r="I173" s="28">
        <v>0</v>
      </c>
      <c r="J173" s="28">
        <f>H173*AO173</f>
        <v>0</v>
      </c>
      <c r="K173" s="28">
        <f>H173*AP173</f>
        <v>0</v>
      </c>
      <c r="L173" s="28">
        <f>H173*I173</f>
        <v>0</v>
      </c>
      <c r="M173" s="52" t="s">
        <v>145</v>
      </c>
      <c r="N173" s="3"/>
      <c r="Z173" s="28">
        <f>IF(AQ173="5",BJ173,0)</f>
        <v>0</v>
      </c>
      <c r="AB173" s="28">
        <f>IF(AQ173="1",BH173,0)</f>
        <v>0</v>
      </c>
      <c r="AC173" s="28">
        <f>IF(AQ173="1",BI173,0)</f>
        <v>0</v>
      </c>
      <c r="AD173" s="28">
        <f>IF(AQ173="7",BH173,0)</f>
        <v>0</v>
      </c>
      <c r="AE173" s="28">
        <f>IF(AQ173="7",BI173,0)</f>
        <v>0</v>
      </c>
      <c r="AF173" s="28">
        <f>IF(AQ173="2",BH173,0)</f>
        <v>0</v>
      </c>
      <c r="AG173" s="28">
        <f>IF(AQ173="2",BI173,0)</f>
        <v>0</v>
      </c>
      <c r="AH173" s="28">
        <f>IF(AQ173="0",BJ173,0)</f>
        <v>0</v>
      </c>
      <c r="AI173" s="37"/>
      <c r="AJ173" s="28">
        <f>IF(AN173=0,L173,0)</f>
        <v>0</v>
      </c>
      <c r="AK173" s="28">
        <f>IF(AN173=15,L173,0)</f>
        <v>0</v>
      </c>
      <c r="AL173" s="28">
        <f>IF(AN173=21,L173,0)</f>
        <v>0</v>
      </c>
      <c r="AN173" s="28">
        <v>21</v>
      </c>
      <c r="AO173" s="28">
        <f>I173*0</f>
        <v>0</v>
      </c>
      <c r="AP173" s="28">
        <f>I173*(1-0)</f>
        <v>0</v>
      </c>
      <c r="AQ173" s="53" t="s">
        <v>167</v>
      </c>
      <c r="AV173" s="28">
        <f>AW173+AX173</f>
        <v>0</v>
      </c>
      <c r="AW173" s="28">
        <f>H173*AO173</f>
        <v>0</v>
      </c>
      <c r="AX173" s="28">
        <f>H173*AP173</f>
        <v>0</v>
      </c>
      <c r="AY173" s="53" t="s">
        <v>395</v>
      </c>
      <c r="AZ173" s="53" t="s">
        <v>354</v>
      </c>
      <c r="BA173" s="37" t="s">
        <v>148</v>
      </c>
      <c r="BC173" s="28">
        <f>AW173+AX173</f>
        <v>0</v>
      </c>
      <c r="BD173" s="28">
        <f>I173/(100-BE173)*100</f>
        <v>0</v>
      </c>
      <c r="BE173" s="28">
        <v>0</v>
      </c>
      <c r="BF173" s="28">
        <f>173</f>
        <v>173</v>
      </c>
      <c r="BH173" s="28">
        <f>H173*AO173</f>
        <v>0</v>
      </c>
      <c r="BI173" s="28">
        <f>H173*AP173</f>
        <v>0</v>
      </c>
      <c r="BJ173" s="28">
        <f>H173*I173</f>
        <v>0</v>
      </c>
      <c r="BK173" s="28" t="s">
        <v>149</v>
      </c>
      <c r="BL173" s="28" t="s">
        <v>104</v>
      </c>
    </row>
    <row r="174" spans="1:64" x14ac:dyDescent="0.2">
      <c r="A174" s="3"/>
      <c r="C174" s="54" t="s">
        <v>400</v>
      </c>
      <c r="F174" s="54" t="s">
        <v>401</v>
      </c>
      <c r="H174" s="55">
        <v>8060.4</v>
      </c>
      <c r="M174" s="17"/>
      <c r="N174" s="3"/>
    </row>
    <row r="175" spans="1:64" x14ac:dyDescent="0.2">
      <c r="A175" s="29" t="s">
        <v>402</v>
      </c>
      <c r="B175" s="4" t="s">
        <v>403</v>
      </c>
      <c r="C175" s="81" t="s">
        <v>404</v>
      </c>
      <c r="D175" s="81"/>
      <c r="E175" s="81"/>
      <c r="F175" s="81"/>
      <c r="G175" s="4" t="s">
        <v>204</v>
      </c>
      <c r="H175" s="28">
        <v>3.875</v>
      </c>
      <c r="I175" s="28">
        <v>0</v>
      </c>
      <c r="J175" s="28">
        <f t="shared" ref="J175:J182" si="0">H175*AO175</f>
        <v>0</v>
      </c>
      <c r="K175" s="28">
        <f t="shared" ref="K175:K182" si="1">H175*AP175</f>
        <v>0</v>
      </c>
      <c r="L175" s="28">
        <f t="shared" ref="L175:L182" si="2">H175*I175</f>
        <v>0</v>
      </c>
      <c r="M175" s="52" t="s">
        <v>145</v>
      </c>
      <c r="N175" s="3"/>
      <c r="Z175" s="28">
        <f t="shared" ref="Z175:Z182" si="3">IF(AQ175="5",BJ175,0)</f>
        <v>0</v>
      </c>
      <c r="AB175" s="28">
        <f t="shared" ref="AB175:AB182" si="4">IF(AQ175="1",BH175,0)</f>
        <v>0</v>
      </c>
      <c r="AC175" s="28">
        <f t="shared" ref="AC175:AC182" si="5">IF(AQ175="1",BI175,0)</f>
        <v>0</v>
      </c>
      <c r="AD175" s="28">
        <f t="shared" ref="AD175:AD182" si="6">IF(AQ175="7",BH175,0)</f>
        <v>0</v>
      </c>
      <c r="AE175" s="28">
        <f t="shared" ref="AE175:AE182" si="7">IF(AQ175="7",BI175,0)</f>
        <v>0</v>
      </c>
      <c r="AF175" s="28">
        <f t="shared" ref="AF175:AF182" si="8">IF(AQ175="2",BH175,0)</f>
        <v>0</v>
      </c>
      <c r="AG175" s="28">
        <f t="shared" ref="AG175:AG182" si="9">IF(AQ175="2",BI175,0)</f>
        <v>0</v>
      </c>
      <c r="AH175" s="28">
        <f t="shared" ref="AH175:AH182" si="10">IF(AQ175="0",BJ175,0)</f>
        <v>0</v>
      </c>
      <c r="AI175" s="37"/>
      <c r="AJ175" s="28">
        <f t="shared" ref="AJ175:AJ182" si="11">IF(AN175=0,L175,0)</f>
        <v>0</v>
      </c>
      <c r="AK175" s="28">
        <f t="shared" ref="AK175:AK182" si="12">IF(AN175=15,L175,0)</f>
        <v>0</v>
      </c>
      <c r="AL175" s="28">
        <f t="shared" ref="AL175:AL182" si="13">IF(AN175=21,L175,0)</f>
        <v>0</v>
      </c>
      <c r="AN175" s="28">
        <v>21</v>
      </c>
      <c r="AO175" s="28">
        <f t="shared" ref="AO175:AO182" si="14">I175*0</f>
        <v>0</v>
      </c>
      <c r="AP175" s="28">
        <f t="shared" ref="AP175:AP182" si="15">I175*(1-0)</f>
        <v>0</v>
      </c>
      <c r="AQ175" s="53" t="s">
        <v>167</v>
      </c>
      <c r="AV175" s="28">
        <f t="shared" ref="AV175:AV182" si="16">AW175+AX175</f>
        <v>0</v>
      </c>
      <c r="AW175" s="28">
        <f t="shared" ref="AW175:AW182" si="17">H175*AO175</f>
        <v>0</v>
      </c>
      <c r="AX175" s="28">
        <f t="shared" ref="AX175:AX182" si="18">H175*AP175</f>
        <v>0</v>
      </c>
      <c r="AY175" s="53" t="s">
        <v>395</v>
      </c>
      <c r="AZ175" s="53" t="s">
        <v>354</v>
      </c>
      <c r="BA175" s="37" t="s">
        <v>148</v>
      </c>
      <c r="BC175" s="28">
        <f t="shared" ref="BC175:BC182" si="19">AW175+AX175</f>
        <v>0</v>
      </c>
      <c r="BD175" s="28">
        <f t="shared" ref="BD175:BD182" si="20">I175/(100-BE175)*100</f>
        <v>0</v>
      </c>
      <c r="BE175" s="28">
        <v>0</v>
      </c>
      <c r="BF175" s="28">
        <f>175</f>
        <v>175</v>
      </c>
      <c r="BH175" s="28">
        <f t="shared" ref="BH175:BH182" si="21">H175*AO175</f>
        <v>0</v>
      </c>
      <c r="BI175" s="28">
        <f t="shared" ref="BI175:BI182" si="22">H175*AP175</f>
        <v>0</v>
      </c>
      <c r="BJ175" s="28">
        <f t="shared" ref="BJ175:BJ182" si="23">H175*I175</f>
        <v>0</v>
      </c>
      <c r="BK175" s="28" t="s">
        <v>149</v>
      </c>
      <c r="BL175" s="28" t="s">
        <v>104</v>
      </c>
    </row>
    <row r="176" spans="1:64" x14ac:dyDescent="0.2">
      <c r="A176" s="29" t="s">
        <v>405</v>
      </c>
      <c r="B176" s="4" t="s">
        <v>406</v>
      </c>
      <c r="C176" s="81" t="s">
        <v>407</v>
      </c>
      <c r="D176" s="81"/>
      <c r="E176" s="81"/>
      <c r="F176" s="81"/>
      <c r="G176" s="4" t="s">
        <v>204</v>
      </c>
      <c r="H176" s="28">
        <v>7.75</v>
      </c>
      <c r="I176" s="28">
        <v>0</v>
      </c>
      <c r="J176" s="28">
        <f t="shared" si="0"/>
        <v>0</v>
      </c>
      <c r="K176" s="28">
        <f t="shared" si="1"/>
        <v>0</v>
      </c>
      <c r="L176" s="28">
        <f t="shared" si="2"/>
        <v>0</v>
      </c>
      <c r="M176" s="52" t="s">
        <v>145</v>
      </c>
      <c r="N176" s="3"/>
      <c r="Z176" s="28">
        <f t="shared" si="3"/>
        <v>0</v>
      </c>
      <c r="AB176" s="28">
        <f t="shared" si="4"/>
        <v>0</v>
      </c>
      <c r="AC176" s="28">
        <f t="shared" si="5"/>
        <v>0</v>
      </c>
      <c r="AD176" s="28">
        <f t="shared" si="6"/>
        <v>0</v>
      </c>
      <c r="AE176" s="28">
        <f t="shared" si="7"/>
        <v>0</v>
      </c>
      <c r="AF176" s="28">
        <f t="shared" si="8"/>
        <v>0</v>
      </c>
      <c r="AG176" s="28">
        <f t="shared" si="9"/>
        <v>0</v>
      </c>
      <c r="AH176" s="28">
        <f t="shared" si="10"/>
        <v>0</v>
      </c>
      <c r="AI176" s="37"/>
      <c r="AJ176" s="28">
        <f t="shared" si="11"/>
        <v>0</v>
      </c>
      <c r="AK176" s="28">
        <f t="shared" si="12"/>
        <v>0</v>
      </c>
      <c r="AL176" s="28">
        <f t="shared" si="13"/>
        <v>0</v>
      </c>
      <c r="AN176" s="28">
        <v>21</v>
      </c>
      <c r="AO176" s="28">
        <f t="shared" si="14"/>
        <v>0</v>
      </c>
      <c r="AP176" s="28">
        <f t="shared" si="15"/>
        <v>0</v>
      </c>
      <c r="AQ176" s="53" t="s">
        <v>167</v>
      </c>
      <c r="AV176" s="28">
        <f t="shared" si="16"/>
        <v>0</v>
      </c>
      <c r="AW176" s="28">
        <f t="shared" si="17"/>
        <v>0</v>
      </c>
      <c r="AX176" s="28">
        <f t="shared" si="18"/>
        <v>0</v>
      </c>
      <c r="AY176" s="53" t="s">
        <v>395</v>
      </c>
      <c r="AZ176" s="53" t="s">
        <v>354</v>
      </c>
      <c r="BA176" s="37" t="s">
        <v>148</v>
      </c>
      <c r="BC176" s="28">
        <f t="shared" si="19"/>
        <v>0</v>
      </c>
      <c r="BD176" s="28">
        <f t="shared" si="20"/>
        <v>0</v>
      </c>
      <c r="BE176" s="28">
        <v>0</v>
      </c>
      <c r="BF176" s="28">
        <f>176</f>
        <v>176</v>
      </c>
      <c r="BH176" s="28">
        <f t="shared" si="21"/>
        <v>0</v>
      </c>
      <c r="BI176" s="28">
        <f t="shared" si="22"/>
        <v>0</v>
      </c>
      <c r="BJ176" s="28">
        <f t="shared" si="23"/>
        <v>0</v>
      </c>
      <c r="BK176" s="28" t="s">
        <v>149</v>
      </c>
      <c r="BL176" s="28" t="s">
        <v>104</v>
      </c>
    </row>
    <row r="177" spans="1:64" x14ac:dyDescent="0.2">
      <c r="A177" s="3"/>
      <c r="C177" s="54" t="s">
        <v>408</v>
      </c>
      <c r="F177" s="54" t="s">
        <v>401</v>
      </c>
      <c r="H177" s="55">
        <v>7.75</v>
      </c>
      <c r="M177" s="17"/>
      <c r="N177" s="3"/>
    </row>
    <row r="178" spans="1:64" x14ac:dyDescent="0.2">
      <c r="A178" s="29" t="s">
        <v>409</v>
      </c>
      <c r="B178" s="4" t="s">
        <v>410</v>
      </c>
      <c r="C178" s="81" t="s">
        <v>411</v>
      </c>
      <c r="D178" s="81"/>
      <c r="E178" s="81"/>
      <c r="F178" s="81"/>
      <c r="G178" s="4" t="s">
        <v>204</v>
      </c>
      <c r="H178" s="28">
        <v>98.45</v>
      </c>
      <c r="I178" s="28">
        <v>0</v>
      </c>
      <c r="J178" s="28">
        <f t="shared" si="0"/>
        <v>0</v>
      </c>
      <c r="K178" s="28">
        <f t="shared" si="1"/>
        <v>0</v>
      </c>
      <c r="L178" s="28">
        <f t="shared" si="2"/>
        <v>0</v>
      </c>
      <c r="M178" s="52"/>
      <c r="N178" s="3"/>
      <c r="Z178" s="28">
        <f t="shared" si="3"/>
        <v>0</v>
      </c>
      <c r="AB178" s="28">
        <f t="shared" si="4"/>
        <v>0</v>
      </c>
      <c r="AC178" s="28">
        <f t="shared" si="5"/>
        <v>0</v>
      </c>
      <c r="AD178" s="28">
        <f t="shared" si="6"/>
        <v>0</v>
      </c>
      <c r="AE178" s="28">
        <f t="shared" si="7"/>
        <v>0</v>
      </c>
      <c r="AF178" s="28">
        <f t="shared" si="8"/>
        <v>0</v>
      </c>
      <c r="AG178" s="28">
        <f t="shared" si="9"/>
        <v>0</v>
      </c>
      <c r="AH178" s="28">
        <f t="shared" si="10"/>
        <v>0</v>
      </c>
      <c r="AI178" s="37"/>
      <c r="AJ178" s="28">
        <f t="shared" si="11"/>
        <v>0</v>
      </c>
      <c r="AK178" s="28">
        <f t="shared" si="12"/>
        <v>0</v>
      </c>
      <c r="AL178" s="28">
        <f t="shared" si="13"/>
        <v>0</v>
      </c>
      <c r="AN178" s="28">
        <v>21</v>
      </c>
      <c r="AO178" s="28">
        <f t="shared" si="14"/>
        <v>0</v>
      </c>
      <c r="AP178" s="28">
        <f t="shared" si="15"/>
        <v>0</v>
      </c>
      <c r="AQ178" s="53" t="s">
        <v>167</v>
      </c>
      <c r="AV178" s="28">
        <f t="shared" si="16"/>
        <v>0</v>
      </c>
      <c r="AW178" s="28">
        <f t="shared" si="17"/>
        <v>0</v>
      </c>
      <c r="AX178" s="28">
        <f t="shared" si="18"/>
        <v>0</v>
      </c>
      <c r="AY178" s="53" t="s">
        <v>395</v>
      </c>
      <c r="AZ178" s="53" t="s">
        <v>354</v>
      </c>
      <c r="BA178" s="37" t="s">
        <v>148</v>
      </c>
      <c r="BC178" s="28">
        <f t="shared" si="19"/>
        <v>0</v>
      </c>
      <c r="BD178" s="28">
        <f t="shared" si="20"/>
        <v>0</v>
      </c>
      <c r="BE178" s="28">
        <v>0</v>
      </c>
      <c r="BF178" s="28">
        <f>178</f>
        <v>178</v>
      </c>
      <c r="BH178" s="28">
        <f t="shared" si="21"/>
        <v>0</v>
      </c>
      <c r="BI178" s="28">
        <f t="shared" si="22"/>
        <v>0</v>
      </c>
      <c r="BJ178" s="28">
        <f t="shared" si="23"/>
        <v>0</v>
      </c>
      <c r="BK178" s="28" t="s">
        <v>149</v>
      </c>
      <c r="BL178" s="28" t="s">
        <v>104</v>
      </c>
    </row>
    <row r="179" spans="1:64" x14ac:dyDescent="0.2">
      <c r="A179" s="29" t="s">
        <v>90</v>
      </c>
      <c r="B179" s="4" t="s">
        <v>412</v>
      </c>
      <c r="C179" s="81" t="s">
        <v>413</v>
      </c>
      <c r="D179" s="81"/>
      <c r="E179" s="81"/>
      <c r="F179" s="81"/>
      <c r="G179" s="4" t="s">
        <v>204</v>
      </c>
      <c r="H179" s="28">
        <v>887.15</v>
      </c>
      <c r="I179" s="28">
        <v>0</v>
      </c>
      <c r="J179" s="28">
        <f t="shared" si="0"/>
        <v>0</v>
      </c>
      <c r="K179" s="28">
        <f t="shared" si="1"/>
        <v>0</v>
      </c>
      <c r="L179" s="28">
        <f t="shared" si="2"/>
        <v>0</v>
      </c>
      <c r="M179" s="52" t="s">
        <v>145</v>
      </c>
      <c r="N179" s="3"/>
      <c r="Z179" s="28">
        <f t="shared" si="3"/>
        <v>0</v>
      </c>
      <c r="AB179" s="28">
        <f t="shared" si="4"/>
        <v>0</v>
      </c>
      <c r="AC179" s="28">
        <f t="shared" si="5"/>
        <v>0</v>
      </c>
      <c r="AD179" s="28">
        <f t="shared" si="6"/>
        <v>0</v>
      </c>
      <c r="AE179" s="28">
        <f t="shared" si="7"/>
        <v>0</v>
      </c>
      <c r="AF179" s="28">
        <f t="shared" si="8"/>
        <v>0</v>
      </c>
      <c r="AG179" s="28">
        <f t="shared" si="9"/>
        <v>0</v>
      </c>
      <c r="AH179" s="28">
        <f t="shared" si="10"/>
        <v>0</v>
      </c>
      <c r="AI179" s="37"/>
      <c r="AJ179" s="28">
        <f t="shared" si="11"/>
        <v>0</v>
      </c>
      <c r="AK179" s="28">
        <f t="shared" si="12"/>
        <v>0</v>
      </c>
      <c r="AL179" s="28">
        <f t="shared" si="13"/>
        <v>0</v>
      </c>
      <c r="AN179" s="28">
        <v>21</v>
      </c>
      <c r="AO179" s="28">
        <f t="shared" si="14"/>
        <v>0</v>
      </c>
      <c r="AP179" s="28">
        <f t="shared" si="15"/>
        <v>0</v>
      </c>
      <c r="AQ179" s="53" t="s">
        <v>167</v>
      </c>
      <c r="AV179" s="28">
        <f t="shared" si="16"/>
        <v>0</v>
      </c>
      <c r="AW179" s="28">
        <f t="shared" si="17"/>
        <v>0</v>
      </c>
      <c r="AX179" s="28">
        <f t="shared" si="18"/>
        <v>0</v>
      </c>
      <c r="AY179" s="53" t="s">
        <v>395</v>
      </c>
      <c r="AZ179" s="53" t="s">
        <v>354</v>
      </c>
      <c r="BA179" s="37" t="s">
        <v>148</v>
      </c>
      <c r="BC179" s="28">
        <f t="shared" si="19"/>
        <v>0</v>
      </c>
      <c r="BD179" s="28">
        <f t="shared" si="20"/>
        <v>0</v>
      </c>
      <c r="BE179" s="28">
        <v>0</v>
      </c>
      <c r="BF179" s="28">
        <f>179</f>
        <v>179</v>
      </c>
      <c r="BH179" s="28">
        <f t="shared" si="21"/>
        <v>0</v>
      </c>
      <c r="BI179" s="28">
        <f t="shared" si="22"/>
        <v>0</v>
      </c>
      <c r="BJ179" s="28">
        <f t="shared" si="23"/>
        <v>0</v>
      </c>
      <c r="BK179" s="28" t="s">
        <v>149</v>
      </c>
      <c r="BL179" s="28" t="s">
        <v>104</v>
      </c>
    </row>
    <row r="180" spans="1:64" x14ac:dyDescent="0.2">
      <c r="A180" s="29" t="s">
        <v>92</v>
      </c>
      <c r="B180" s="4" t="s">
        <v>414</v>
      </c>
      <c r="C180" s="81" t="s">
        <v>415</v>
      </c>
      <c r="D180" s="81"/>
      <c r="E180" s="81"/>
      <c r="F180" s="81"/>
      <c r="G180" s="4" t="s">
        <v>204</v>
      </c>
      <c r="H180" s="28">
        <v>3.875</v>
      </c>
      <c r="I180" s="28">
        <v>0</v>
      </c>
      <c r="J180" s="28">
        <f t="shared" si="0"/>
        <v>0</v>
      </c>
      <c r="K180" s="28">
        <f t="shared" si="1"/>
        <v>0</v>
      </c>
      <c r="L180" s="28">
        <f t="shared" si="2"/>
        <v>0</v>
      </c>
      <c r="M180" s="52" t="s">
        <v>145</v>
      </c>
      <c r="N180" s="3"/>
      <c r="Z180" s="28">
        <f t="shared" si="3"/>
        <v>0</v>
      </c>
      <c r="AB180" s="28">
        <f t="shared" si="4"/>
        <v>0</v>
      </c>
      <c r="AC180" s="28">
        <f t="shared" si="5"/>
        <v>0</v>
      </c>
      <c r="AD180" s="28">
        <f t="shared" si="6"/>
        <v>0</v>
      </c>
      <c r="AE180" s="28">
        <f t="shared" si="7"/>
        <v>0</v>
      </c>
      <c r="AF180" s="28">
        <f t="shared" si="8"/>
        <v>0</v>
      </c>
      <c r="AG180" s="28">
        <f t="shared" si="9"/>
        <v>0</v>
      </c>
      <c r="AH180" s="28">
        <f t="shared" si="10"/>
        <v>0</v>
      </c>
      <c r="AI180" s="37"/>
      <c r="AJ180" s="28">
        <f t="shared" si="11"/>
        <v>0</v>
      </c>
      <c r="AK180" s="28">
        <f t="shared" si="12"/>
        <v>0</v>
      </c>
      <c r="AL180" s="28">
        <f t="shared" si="13"/>
        <v>0</v>
      </c>
      <c r="AN180" s="28">
        <v>21</v>
      </c>
      <c r="AO180" s="28">
        <f t="shared" si="14"/>
        <v>0</v>
      </c>
      <c r="AP180" s="28">
        <f t="shared" si="15"/>
        <v>0</v>
      </c>
      <c r="AQ180" s="53" t="s">
        <v>167</v>
      </c>
      <c r="AV180" s="28">
        <f t="shared" si="16"/>
        <v>0</v>
      </c>
      <c r="AW180" s="28">
        <f t="shared" si="17"/>
        <v>0</v>
      </c>
      <c r="AX180" s="28">
        <f t="shared" si="18"/>
        <v>0</v>
      </c>
      <c r="AY180" s="53" t="s">
        <v>395</v>
      </c>
      <c r="AZ180" s="53" t="s">
        <v>354</v>
      </c>
      <c r="BA180" s="37" t="s">
        <v>148</v>
      </c>
      <c r="BC180" s="28">
        <f t="shared" si="19"/>
        <v>0</v>
      </c>
      <c r="BD180" s="28">
        <f t="shared" si="20"/>
        <v>0</v>
      </c>
      <c r="BE180" s="28">
        <v>0</v>
      </c>
      <c r="BF180" s="28">
        <f>180</f>
        <v>180</v>
      </c>
      <c r="BH180" s="28">
        <f t="shared" si="21"/>
        <v>0</v>
      </c>
      <c r="BI180" s="28">
        <f t="shared" si="22"/>
        <v>0</v>
      </c>
      <c r="BJ180" s="28">
        <f t="shared" si="23"/>
        <v>0</v>
      </c>
      <c r="BK180" s="28" t="s">
        <v>149</v>
      </c>
      <c r="BL180" s="28" t="s">
        <v>104</v>
      </c>
    </row>
    <row r="181" spans="1:64" ht="12.75" customHeight="1" x14ac:dyDescent="0.2">
      <c r="A181" s="3"/>
      <c r="B181" s="56" t="s">
        <v>151</v>
      </c>
      <c r="C181" s="99" t="s">
        <v>416</v>
      </c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3"/>
    </row>
    <row r="182" spans="1:64" x14ac:dyDescent="0.2">
      <c r="A182" s="61" t="s">
        <v>12</v>
      </c>
      <c r="B182" s="5" t="s">
        <v>417</v>
      </c>
      <c r="C182" s="78" t="s">
        <v>418</v>
      </c>
      <c r="D182" s="78"/>
      <c r="E182" s="78"/>
      <c r="F182" s="78"/>
      <c r="G182" s="5" t="s">
        <v>204</v>
      </c>
      <c r="H182" s="62">
        <v>2963.6732200000001</v>
      </c>
      <c r="I182" s="62">
        <v>0</v>
      </c>
      <c r="J182" s="62">
        <f t="shared" si="0"/>
        <v>0</v>
      </c>
      <c r="K182" s="62">
        <f t="shared" si="1"/>
        <v>0</v>
      </c>
      <c r="L182" s="62">
        <f t="shared" si="2"/>
        <v>0</v>
      </c>
      <c r="M182" s="63" t="s">
        <v>145</v>
      </c>
      <c r="N182" s="3"/>
      <c r="Z182" s="28">
        <f t="shared" si="3"/>
        <v>0</v>
      </c>
      <c r="AB182" s="28">
        <f t="shared" si="4"/>
        <v>0</v>
      </c>
      <c r="AC182" s="28">
        <f t="shared" si="5"/>
        <v>0</v>
      </c>
      <c r="AD182" s="28">
        <f t="shared" si="6"/>
        <v>0</v>
      </c>
      <c r="AE182" s="28">
        <f t="shared" si="7"/>
        <v>0</v>
      </c>
      <c r="AF182" s="28">
        <f t="shared" si="8"/>
        <v>0</v>
      </c>
      <c r="AG182" s="28">
        <f t="shared" si="9"/>
        <v>0</v>
      </c>
      <c r="AH182" s="28">
        <f t="shared" si="10"/>
        <v>0</v>
      </c>
      <c r="AI182" s="37"/>
      <c r="AJ182" s="28">
        <f t="shared" si="11"/>
        <v>0</v>
      </c>
      <c r="AK182" s="28">
        <f t="shared" si="12"/>
        <v>0</v>
      </c>
      <c r="AL182" s="28">
        <f t="shared" si="13"/>
        <v>0</v>
      </c>
      <c r="AN182" s="28">
        <v>21</v>
      </c>
      <c r="AO182" s="28">
        <f t="shared" si="14"/>
        <v>0</v>
      </c>
      <c r="AP182" s="28">
        <f t="shared" si="15"/>
        <v>0</v>
      </c>
      <c r="AQ182" s="53" t="s">
        <v>167</v>
      </c>
      <c r="AV182" s="28">
        <f t="shared" si="16"/>
        <v>0</v>
      </c>
      <c r="AW182" s="28">
        <f t="shared" si="17"/>
        <v>0</v>
      </c>
      <c r="AX182" s="28">
        <f t="shared" si="18"/>
        <v>0</v>
      </c>
      <c r="AY182" s="53" t="s">
        <v>395</v>
      </c>
      <c r="AZ182" s="53" t="s">
        <v>354</v>
      </c>
      <c r="BA182" s="37" t="s">
        <v>148</v>
      </c>
      <c r="BC182" s="28">
        <f t="shared" si="19"/>
        <v>0</v>
      </c>
      <c r="BD182" s="28">
        <f t="shared" si="20"/>
        <v>0</v>
      </c>
      <c r="BE182" s="28">
        <v>0</v>
      </c>
      <c r="BF182" s="28">
        <f>182</f>
        <v>182</v>
      </c>
      <c r="BH182" s="28">
        <f t="shared" si="21"/>
        <v>0</v>
      </c>
      <c r="BI182" s="28">
        <f t="shared" si="22"/>
        <v>0</v>
      </c>
      <c r="BJ182" s="28">
        <f t="shared" si="23"/>
        <v>0</v>
      </c>
      <c r="BK182" s="28" t="s">
        <v>149</v>
      </c>
      <c r="BL182" s="28" t="s">
        <v>104</v>
      </c>
    </row>
    <row r="183" spans="1:64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00" t="s">
        <v>106</v>
      </c>
      <c r="K183" s="100"/>
      <c r="L183" s="64">
        <f>L12+L25+L32+L36+L39+L50+L57+L60+L67+L71+L77+L99+L108+L134+L138+L141+L162+L170</f>
        <v>0</v>
      </c>
      <c r="M183" s="12"/>
    </row>
    <row r="184" spans="1:64" ht="11.25" customHeight="1" x14ac:dyDescent="0.2">
      <c r="A184" s="65" t="s">
        <v>58</v>
      </c>
    </row>
    <row r="185" spans="1:64" ht="12.75" customHeight="1" x14ac:dyDescent="0.2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</row>
  </sheetData>
  <mergeCells count="143">
    <mergeCell ref="A1:M1"/>
    <mergeCell ref="A2:B3"/>
    <mergeCell ref="C2:D3"/>
    <mergeCell ref="E2:F3"/>
    <mergeCell ref="G2:H3"/>
    <mergeCell ref="I2:I3"/>
    <mergeCell ref="J2:M3"/>
    <mergeCell ref="A4:B5"/>
    <mergeCell ref="C4:D5"/>
    <mergeCell ref="E4:F5"/>
    <mergeCell ref="G4:H5"/>
    <mergeCell ref="I4:I5"/>
    <mergeCell ref="J4:M5"/>
    <mergeCell ref="A6:B7"/>
    <mergeCell ref="C6:D7"/>
    <mergeCell ref="E6:F7"/>
    <mergeCell ref="G6:H7"/>
    <mergeCell ref="I6:I7"/>
    <mergeCell ref="J6:M7"/>
    <mergeCell ref="A8:B9"/>
    <mergeCell ref="C8:D9"/>
    <mergeCell ref="E8:F9"/>
    <mergeCell ref="G8:H9"/>
    <mergeCell ref="I8:I9"/>
    <mergeCell ref="J8:M9"/>
    <mergeCell ref="C10:F10"/>
    <mergeCell ref="J10:L10"/>
    <mergeCell ref="C11:F11"/>
    <mergeCell ref="C12:F12"/>
    <mergeCell ref="C13:F13"/>
    <mergeCell ref="C15:M15"/>
    <mergeCell ref="C16:F16"/>
    <mergeCell ref="C18:M18"/>
    <mergeCell ref="C19:F19"/>
    <mergeCell ref="C21:M21"/>
    <mergeCell ref="C22:F22"/>
    <mergeCell ref="C24:M24"/>
    <mergeCell ref="C25:F25"/>
    <mergeCell ref="C26:F26"/>
    <mergeCell ref="C27:M27"/>
    <mergeCell ref="C29:F29"/>
    <mergeCell ref="C32:F32"/>
    <mergeCell ref="C33:F33"/>
    <mergeCell ref="C35:M35"/>
    <mergeCell ref="C36:F36"/>
    <mergeCell ref="C37:F37"/>
    <mergeCell ref="C39:F39"/>
    <mergeCell ref="C40:F40"/>
    <mergeCell ref="C43:M43"/>
    <mergeCell ref="C44:F44"/>
    <mergeCell ref="C46:F46"/>
    <mergeCell ref="C48:F48"/>
    <mergeCell ref="C50:F50"/>
    <mergeCell ref="C51:F51"/>
    <mergeCell ref="C53:M53"/>
    <mergeCell ref="C54:F54"/>
    <mergeCell ref="C56:M56"/>
    <mergeCell ref="C57:F57"/>
    <mergeCell ref="C58:F58"/>
    <mergeCell ref="C60:F60"/>
    <mergeCell ref="C61:F61"/>
    <mergeCell ref="C64:F64"/>
    <mergeCell ref="C66:M66"/>
    <mergeCell ref="C67:F67"/>
    <mergeCell ref="C68:F68"/>
    <mergeCell ref="C70:M70"/>
    <mergeCell ref="C71:F71"/>
    <mergeCell ref="C72:F72"/>
    <mergeCell ref="C74:M74"/>
    <mergeCell ref="C75:F75"/>
    <mergeCell ref="C77:F77"/>
    <mergeCell ref="C78:F78"/>
    <mergeCell ref="C80:F80"/>
    <mergeCell ref="C81:M81"/>
    <mergeCell ref="C83:F83"/>
    <mergeCell ref="C85:F85"/>
    <mergeCell ref="C87:F87"/>
    <mergeCell ref="C88:M88"/>
    <mergeCell ref="C90:F90"/>
    <mergeCell ref="C91:M91"/>
    <mergeCell ref="C93:F93"/>
    <mergeCell ref="C94:M94"/>
    <mergeCell ref="C96:F96"/>
    <mergeCell ref="C97:M97"/>
    <mergeCell ref="C99:F99"/>
    <mergeCell ref="C100:F100"/>
    <mergeCell ref="C102:F102"/>
    <mergeCell ref="C104:F104"/>
    <mergeCell ref="C106:F106"/>
    <mergeCell ref="C108:F108"/>
    <mergeCell ref="C109:F109"/>
    <mergeCell ref="C110:M110"/>
    <mergeCell ref="C112:M112"/>
    <mergeCell ref="C113:F113"/>
    <mergeCell ref="C115:M115"/>
    <mergeCell ref="C116:F116"/>
    <mergeCell ref="C118:F118"/>
    <mergeCell ref="C119:M119"/>
    <mergeCell ref="C121:M121"/>
    <mergeCell ref="C122:F122"/>
    <mergeCell ref="C124:M124"/>
    <mergeCell ref="C125:F125"/>
    <mergeCell ref="C127:M127"/>
    <mergeCell ref="C128:F128"/>
    <mergeCell ref="C130:M130"/>
    <mergeCell ref="C131:F131"/>
    <mergeCell ref="C133:M133"/>
    <mergeCell ref="C134:F134"/>
    <mergeCell ref="C135:F135"/>
    <mergeCell ref="C137:M137"/>
    <mergeCell ref="C138:F138"/>
    <mergeCell ref="C139:F139"/>
    <mergeCell ref="C141:F141"/>
    <mergeCell ref="C142:F142"/>
    <mergeCell ref="C144:M144"/>
    <mergeCell ref="C145:F145"/>
    <mergeCell ref="C147:M147"/>
    <mergeCell ref="C148:F148"/>
    <mergeCell ref="C151:M151"/>
    <mergeCell ref="C152:F152"/>
    <mergeCell ref="C155:F155"/>
    <mergeCell ref="C158:M158"/>
    <mergeCell ref="C159:F159"/>
    <mergeCell ref="C160:M160"/>
    <mergeCell ref="C162:F162"/>
    <mergeCell ref="C163:F163"/>
    <mergeCell ref="C164:M164"/>
    <mergeCell ref="C166:M166"/>
    <mergeCell ref="C167:F167"/>
    <mergeCell ref="C168:M168"/>
    <mergeCell ref="C170:F170"/>
    <mergeCell ref="C171:F171"/>
    <mergeCell ref="C172:M172"/>
    <mergeCell ref="A185:M185"/>
    <mergeCell ref="C173:F173"/>
    <mergeCell ref="C175:F175"/>
    <mergeCell ref="C176:F176"/>
    <mergeCell ref="C178:F178"/>
    <mergeCell ref="C179:F179"/>
    <mergeCell ref="C180:F180"/>
    <mergeCell ref="C181:M181"/>
    <mergeCell ref="C182:F182"/>
    <mergeCell ref="J183:K183"/>
  </mergeCells>
  <printOptions gridLines="1"/>
  <pageMargins left="0.39370078740157477" right="0.39370078740157477" top="0.59055118110236238" bottom="0.59055118110236238" header="0.51180599999999998" footer="0.51180599999999998"/>
  <pageSetup paperSize="9" scale="65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Krycí list rozpočtu</vt:lpstr>
      <vt:lpstr>Stavební rozpočet - součet</vt:lpstr>
      <vt:lpstr>Stavební rozpočet</vt:lpstr>
      <vt:lpstr>'Krycí list rozpočtu'!Oblast_tisku</vt:lpstr>
      <vt:lpstr>'Stavební rozpočet'!Oblast_tisku</vt:lpstr>
      <vt:lpstr>'Stavební rozpočet - součet'!Oblast_tisku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Marie</dc:creator>
  <cp:lastModifiedBy>Katonová Martina</cp:lastModifiedBy>
  <cp:revision>4</cp:revision>
  <dcterms:created xsi:type="dcterms:W3CDTF">1601-01-01T00:00:00Z</dcterms:created>
  <dcterms:modified xsi:type="dcterms:W3CDTF">2022-12-21T08:51:26Z</dcterms:modified>
</cp:coreProperties>
</file>