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7100" windowHeight="9852" activeTab="2"/>
  </bookViews>
  <sheets>
    <sheet name="Krycí list rozpočtu" sheetId="1" r:id="rId1"/>
    <sheet name="Stavební rozpočet - součet" sheetId="2" r:id="rId2"/>
    <sheet name="Stavební rozpočet" sheetId="3" r:id="rId3"/>
  </sheets>
  <definedNames/>
  <calcPr fullCalcOnLoad="1"/>
</workbook>
</file>

<file path=xl/sharedStrings.xml><?xml version="1.0" encoding="utf-8"?>
<sst xmlns="http://schemas.openxmlformats.org/spreadsheetml/2006/main" count="294" uniqueCount="204">
  <si>
    <t>Stavební rozpočet</t>
  </si>
  <si>
    <t>Název stavby:</t>
  </si>
  <si>
    <t>Druh stavby a účel: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</si>
  <si>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</si>
  <si>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</si>
  <si>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</si>
  <si>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</si>
  <si>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</si>
  <si>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</si>
  <si>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</si>
  <si>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</si>
  <si>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</si>
  <si>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</si>
  <si>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</si>
  <si>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</si>
  <si>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</si>
  <si>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</si>
  <si>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</si>
  <si>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</si>
  <si>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</si>
  <si>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</si>
  <si>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</si>
  <si>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</si>
  <si>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</si>
  <si>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</si>
  <si>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</si>
  <si>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</si>
  <si>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</si>
  <si>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</si>
  <si>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</si>
  <si>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</si>
  <si>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</si>
  <si>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</si>
  <si>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</si>
  <si>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</si>
  <si>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</si>
  <si>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</si>
  <si>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</si>
  <si>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</si>
  <si>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</si>
  <si>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</si>
  <si>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</si>
  <si>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</si>
  <si>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</si>
  <si>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</si>
  <si>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Objekt</t>
  </si>
  <si>
    <t>Kód</t>
  </si>
  <si>
    <t>122202201R00</t>
  </si>
  <si>
    <t>122201109R00</t>
  </si>
  <si>
    <t>162201102R00</t>
  </si>
  <si>
    <t>162601102R00</t>
  </si>
  <si>
    <t>00000001VD</t>
  </si>
  <si>
    <t>181101111R00</t>
  </si>
  <si>
    <t>167101101R00</t>
  </si>
  <si>
    <t>162307112R00</t>
  </si>
  <si>
    <t>175103111R00</t>
  </si>
  <si>
    <t>131201102R00</t>
  </si>
  <si>
    <t>56</t>
  </si>
  <si>
    <t>564231111R00</t>
  </si>
  <si>
    <t>564851111R00</t>
  </si>
  <si>
    <t>594111111RT4</t>
  </si>
  <si>
    <t>916161111RT1</t>
  </si>
  <si>
    <t>918101111R00</t>
  </si>
  <si>
    <t>599432111R00</t>
  </si>
  <si>
    <t>594111111R00</t>
  </si>
  <si>
    <t>998223011R00</t>
  </si>
  <si>
    <t>62</t>
  </si>
  <si>
    <t>27323981</t>
  </si>
  <si>
    <t>55396303.A</t>
  </si>
  <si>
    <t>564251811R00</t>
  </si>
  <si>
    <t>67352027</t>
  </si>
  <si>
    <t>762526130RT3</t>
  </si>
  <si>
    <t>762524108RT2</t>
  </si>
  <si>
    <t>60510544</t>
  </si>
  <si>
    <t>60515236</t>
  </si>
  <si>
    <t>275320030RA0</t>
  </si>
  <si>
    <t>413941123RT3</t>
  </si>
  <si>
    <t>631571001R00</t>
  </si>
  <si>
    <t>917111111R00</t>
  </si>
  <si>
    <t>583840110000</t>
  </si>
  <si>
    <t>28697250</t>
  </si>
  <si>
    <t>767</t>
  </si>
  <si>
    <t>767999101R00</t>
  </si>
  <si>
    <t>13611228</t>
  </si>
  <si>
    <t>767VD</t>
  </si>
  <si>
    <t>998767101R00</t>
  </si>
  <si>
    <t>Labyrint  přírody a ráj zahrad - I.etapa</t>
  </si>
  <si>
    <t>ZO.07 - Zahrada tůň a mokřad</t>
  </si>
  <si>
    <t>Areál MUZF Lednice na Moravě</t>
  </si>
  <si>
    <t>Zkrácený popis</t>
  </si>
  <si>
    <t>Zemní práce</t>
  </si>
  <si>
    <t>Odkopávky pro silnice v hor. 3 do 100 m3</t>
  </si>
  <si>
    <t>Příplatek za lepivost - odkopávky v hor. 3</t>
  </si>
  <si>
    <t>Vodorovné přemístění výkopku z hor.1-4 do 50 m</t>
  </si>
  <si>
    <t>Vodorovné přemístění výkopku z hor.1-4 do 5000 m</t>
  </si>
  <si>
    <t>Poplatek za uložení na skládce</t>
  </si>
  <si>
    <t>Úprava pláně se zhutněním - ručně</t>
  </si>
  <si>
    <t>Nakládání výkopku z hor.1-4 v množství do 100 m3</t>
  </si>
  <si>
    <t>Vodorov prem vykop horn 1-4 1000m</t>
  </si>
  <si>
    <t>Obsyp objektu</t>
  </si>
  <si>
    <t>Hloubení nezapažených jam v hor.3 do 1000 m3</t>
  </si>
  <si>
    <t>Komunikace</t>
  </si>
  <si>
    <t>Podklad ze štěrkopísku po zhutnění tloušťky 10 cm</t>
  </si>
  <si>
    <t>Podklad ze štěrkodrti po zhutnění tloušťky 15 cm</t>
  </si>
  <si>
    <t>Dlažba ze štětového kamene,lože z kam.těž.do 5 cm</t>
  </si>
  <si>
    <t>Osazení obruby z kostek velkých, s boční opěrou</t>
  </si>
  <si>
    <t>Lože pod obrubníky nebo obruby dlažeb z B 12,5</t>
  </si>
  <si>
    <t>Výplň spár dlažby z štětového kamene kam.těženým</t>
  </si>
  <si>
    <t>Dlažba z  oblázků,lože z kam.těž.do 5 cm</t>
  </si>
  <si>
    <t>Přesun hmot, pozemní komunikace, kryt dlážděný</t>
  </si>
  <si>
    <t>Vodní nádrž</t>
  </si>
  <si>
    <t>Pryž těsnící Aquafol š. 1400 mm tl. 2 mm, lepená</t>
  </si>
  <si>
    <t>Rošt děrovaný pozink 1200/100/30mm</t>
  </si>
  <si>
    <t>Podklad ze štěrkopísku po zhutnění tl.15 cm</t>
  </si>
  <si>
    <t>Geotextilie silniční PK-Tex PP 60 230 g/m2</t>
  </si>
  <si>
    <t>Položení polštářů pod podlahy rozteče do 100 cm</t>
  </si>
  <si>
    <t>Položení podlah hoblovaných z fošen</t>
  </si>
  <si>
    <t>Fošna akátI jak. tl.6 dl.200-390 š.25-30</t>
  </si>
  <si>
    <t>Hranol akát 1 14x16 délka 300-600 cm</t>
  </si>
  <si>
    <t>Základová patka ŽB C 20/25, vč. bednění a výztuže</t>
  </si>
  <si>
    <t>Dno nádrže z  oblázků,lože z kam.těž.do 5 cm</t>
  </si>
  <si>
    <t>Osazení válcovaných nosníků lávka č. 14 - 22</t>
  </si>
  <si>
    <t>Násyp z písku kopaného 0 - 4, zpevňující</t>
  </si>
  <si>
    <t>Osazení lemu nádrže kamen., bez opěr, lože kam.těž.</t>
  </si>
  <si>
    <t>Kamen lomový tříděný tř 721860</t>
  </si>
  <si>
    <t>Šachta vodoměrná BIOREAL VŠ K v. 1500 mm</t>
  </si>
  <si>
    <t>Přesun hmot, jímky a nádrže</t>
  </si>
  <si>
    <t>Konstrukce doplňkové zámečnické</t>
  </si>
  <si>
    <t>Montáž atypických konstrukcí hmotnosti do 50 kg</t>
  </si>
  <si>
    <t>Plech hladký cortenový tl.6mm</t>
  </si>
  <si>
    <t>Žárové zinkování kovových konstrukcí</t>
  </si>
  <si>
    <t>Přesun hmot pro zámečnické konstr., výšky do 6 m</t>
  </si>
  <si>
    <t>Doba výstavby:</t>
  </si>
  <si>
    <t>Začátek výstavby:</t>
  </si>
  <si>
    <t>Konec výstavby:</t>
  </si>
  <si>
    <t>Zpracováno dne:</t>
  </si>
  <si>
    <t>M.j.</t>
  </si>
  <si>
    <t>m3</t>
  </si>
  <si>
    <t>t</t>
  </si>
  <si>
    <t>m2</t>
  </si>
  <si>
    <t>m</t>
  </si>
  <si>
    <t>kus</t>
  </si>
  <si>
    <t>T</t>
  </si>
  <si>
    <t>kg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</si>
  <si>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</si>
  <si>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</si>
  <si>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</si>
  <si>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</si>
  <si>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</si>
  <si>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</si>
  <si>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</si>
  <si>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</si>
  <si>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</si>
  <si>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</si>
  <si>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</si>
  <si>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ing.Novotný</t>
  </si>
  <si>
    <t>Celkem</t>
  </si>
  <si>
    <t>Hmotnost (t)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</si>
  <si>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</si>
  <si>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</si>
  <si>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</si>
  <si>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</si>
  <si>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</si>
  <si>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</si>
  <si>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</si>
  <si>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</si>
  <si>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</si>
  <si>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</si>
  <si>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</si>
  <si>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</si>
  <si>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</si>
  <si>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</si>
  <si>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</si>
  <si>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</si>
  <si>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</si>
  <si>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</si>
  <si>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</si>
  <si>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</si>
  <si>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</si>
  <si>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</si>
  <si>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</si>
  <si>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</si>
  <si>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</si>
  <si>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</si>
  <si>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</si>
  <si>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</si>
  <si>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</si>
  <si>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</si>
  <si>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</si>
  <si>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</si>
  <si>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</si>
  <si>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</si>
  <si>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</si>
  <si>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</si>
  <si>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</si>
  <si>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</si>
  <si>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</si>
  <si>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</si>
  <si>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</si>
  <si>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DPH 0%</t>
  </si>
  <si>
    <t>Základ 21%</t>
  </si>
  <si>
    <t>DPH 21%</t>
  </si>
  <si>
    <t>MUZF Brno, Zemědělská 1</t>
  </si>
  <si>
    <t>Ing. Z. Stojan - Projekt - Servis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</si>
</sst>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5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4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4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trike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2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6" fillId="33" borderId="27" xfId="0" applyNumberFormat="1" applyFont="1" applyFill="1" applyBorder="1" applyAlignment="1" applyProtection="1">
      <alignment horizontal="center" vertical="center"/>
      <protection/>
    </xf>
    <xf numFmtId="49" fontId="7" fillId="0" borderId="28" xfId="0" applyNumberFormat="1" applyFont="1" applyFill="1" applyBorder="1" applyAlignment="1" applyProtection="1">
      <alignment horizontal="left" vertical="center"/>
      <protection/>
    </xf>
    <xf numFmtId="49" fontId="7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8" fillId="0" borderId="27" xfId="0" applyNumberFormat="1" applyFont="1" applyFill="1" applyBorder="1" applyAlignment="1" applyProtection="1">
      <alignment horizontal="left" vertical="center"/>
      <protection/>
    </xf>
    <xf numFmtId="4" fontId="8" fillId="0" borderId="27" xfId="0" applyNumberFormat="1" applyFont="1" applyFill="1" applyBorder="1" applyAlignment="1" applyProtection="1">
      <alignment horizontal="right" vertical="center"/>
      <protection/>
    </xf>
    <xf numFmtId="4" fontId="7" fillId="33" borderId="32" xfId="0" applyNumberFormat="1" applyFont="1" applyFill="1" applyBorder="1" applyAlignment="1" applyProtection="1">
      <alignment horizontal="righ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9" fontId="8" fillId="0" borderId="27" xfId="0" applyNumberFormat="1" applyFont="1" applyFill="1" applyBorder="1" applyAlignment="1" applyProtection="1">
      <alignment horizontal="right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8" fillId="0" borderId="35" xfId="0" applyNumberFormat="1" applyFont="1" applyFill="1" applyBorder="1" applyAlignment="1" applyProtection="1">
      <alignment horizontal="left" vertical="center"/>
      <protection/>
    </xf>
    <xf numFmtId="0" fontId="8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1" fillId="0" borderId="37" xfId="0" applyNumberFormat="1" applyFont="1" applyFill="1" applyBorder="1" applyAlignment="1" applyProtection="1">
      <alignment horizontal="left" vertical="center"/>
      <protection/>
    </xf>
    <xf numFmtId="14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left" vertical="center"/>
      <protection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49" fontId="7" fillId="33" borderId="35" xfId="0" applyNumberFormat="1" applyFont="1" applyFill="1" applyBorder="1" applyAlignment="1" applyProtection="1">
      <alignment horizontal="left" vertical="center"/>
      <protection/>
    </xf>
    <xf numFmtId="0" fontId="7" fillId="33" borderId="30" xfId="0" applyNumberFormat="1" applyFont="1" applyFill="1" applyBorder="1" applyAlignment="1" applyProtection="1">
      <alignment horizontal="left" vertical="center"/>
      <protection/>
    </xf>
    <xf numFmtId="49" fontId="7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49" fontId="8" fillId="0" borderId="39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40" xfId="0" applyNumberFormat="1" applyFont="1" applyFill="1" applyBorder="1" applyAlignment="1" applyProtection="1">
      <alignment horizontal="left" vertical="center"/>
      <protection/>
    </xf>
    <xf numFmtId="49" fontId="8" fillId="0" borderId="23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41" xfId="0" applyNumberFormat="1" applyFont="1" applyFill="1" applyBorder="1" applyAlignment="1" applyProtection="1">
      <alignment horizontal="left" vertical="center"/>
      <protection/>
    </xf>
    <xf numFmtId="49" fontId="8" fillId="0" borderId="42" xfId="0" applyNumberFormat="1" applyFont="1" applyFill="1" applyBorder="1" applyAlignment="1" applyProtection="1">
      <alignment horizontal="left" vertical="center"/>
      <protection/>
    </xf>
    <xf numFmtId="0" fontId="8" fillId="0" borderId="43" xfId="0" applyNumberFormat="1" applyFont="1" applyFill="1" applyBorder="1" applyAlignment="1" applyProtection="1">
      <alignment horizontal="left" vertical="center"/>
      <protection/>
    </xf>
    <xf numFmtId="0" fontId="8" fillId="0" borderId="44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49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27" fillId="0" borderId="0" xfId="0" applyNumberFormat="1" applyFont="1" applyFill="1" applyBorder="1" applyAlignment="1" applyProtection="1">
      <alignment horizontal="left" vertical="center"/>
      <protection/>
    </xf>
    <xf numFmtId="4" fontId="27" fillId="0" borderId="0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G28" sqref="G28:I28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13.5742187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48" t="s">
        <v>163</v>
      </c>
      <c r="B1" s="49"/>
      <c r="C1" s="49"/>
      <c r="D1" s="49"/>
      <c r="E1" s="49"/>
      <c r="F1" s="49"/>
      <c r="G1" s="49"/>
      <c r="H1" s="49"/>
      <c r="I1" s="49"/>
    </row>
    <row r="2" spans="1:10" ht="12.75">
      <c r="A2" s="50" t="s">
        <v>1</v>
      </c>
      <c r="B2" s="51"/>
      <c r="C2" s="57" t="s">
        <v>86</v>
      </c>
      <c r="D2" s="58"/>
      <c r="E2" s="62" t="s">
        <v>150</v>
      </c>
      <c r="F2" s="62" t="s">
        <v>202</v>
      </c>
      <c r="G2" s="51"/>
      <c r="H2" s="62" t="s">
        <v>195</v>
      </c>
      <c r="I2" s="65"/>
      <c r="J2" s="22"/>
    </row>
    <row r="3" spans="1:10" ht="12.75">
      <c r="A3" s="52"/>
      <c r="B3" s="53"/>
      <c r="C3" s="59"/>
      <c r="D3" s="59"/>
      <c r="E3" s="53"/>
      <c r="F3" s="53"/>
      <c r="G3" s="53"/>
      <c r="H3" s="53"/>
      <c r="I3" s="66"/>
      <c r="J3" s="22"/>
    </row>
    <row r="4" spans="1:10" ht="12.75">
      <c r="A4" s="54" t="s">
        <v>2</v>
      </c>
      <c r="B4" s="53"/>
      <c r="C4" s="60" t="s">
        <v>87</v>
      </c>
      <c r="D4" s="53"/>
      <c r="E4" s="60" t="s">
        <v>151</v>
      </c>
      <c r="F4" s="60" t="s">
        <v>203</v>
      </c>
      <c r="G4" s="53"/>
      <c r="H4" s="60" t="s">
        <v>195</v>
      </c>
      <c r="I4" s="67"/>
      <c r="J4" s="22"/>
    </row>
    <row r="5" spans="1:10" ht="12.75">
      <c r="A5" s="52"/>
      <c r="B5" s="53"/>
      <c r="C5" s="53"/>
      <c r="D5" s="53"/>
      <c r="E5" s="53"/>
      <c r="F5" s="53"/>
      <c r="G5" s="53"/>
      <c r="H5" s="53"/>
      <c r="I5" s="66"/>
      <c r="J5" s="22"/>
    </row>
    <row r="6" spans="1:10" ht="12.75">
      <c r="A6" s="54" t="s">
        <v>3</v>
      </c>
      <c r="B6" s="53"/>
      <c r="C6" s="60" t="s">
        <v>88</v>
      </c>
      <c r="D6" s="53"/>
      <c r="E6" s="60" t="s">
        <v>152</v>
      </c>
      <c r="F6" s="60"/>
      <c r="G6" s="53"/>
      <c r="H6" s="60" t="s">
        <v>195</v>
      </c>
      <c r="I6" s="67"/>
      <c r="J6" s="22"/>
    </row>
    <row r="7" spans="1:10" ht="12.75">
      <c r="A7" s="52"/>
      <c r="B7" s="53"/>
      <c r="C7" s="53"/>
      <c r="D7" s="53"/>
      <c r="E7" s="53"/>
      <c r="F7" s="53"/>
      <c r="G7" s="53"/>
      <c r="H7" s="53"/>
      <c r="I7" s="66"/>
      <c r="J7" s="22"/>
    </row>
    <row r="8" spans="1:10" ht="12.75">
      <c r="A8" s="54" t="s">
        <v>133</v>
      </c>
      <c r="B8" s="53"/>
      <c r="C8" s="61"/>
      <c r="D8" s="53"/>
      <c r="E8" s="60" t="s">
        <v>134</v>
      </c>
      <c r="F8" s="53"/>
      <c r="G8" s="53"/>
      <c r="H8" s="60" t="s">
        <v>196</v>
      </c>
      <c r="I8" s="67" t="s">
        <v>44</v>
      </c>
      <c r="J8" s="22"/>
    </row>
    <row r="9" spans="1:10" ht="12.75">
      <c r="A9" s="52"/>
      <c r="B9" s="53"/>
      <c r="C9" s="53"/>
      <c r="D9" s="53"/>
      <c r="E9" s="53"/>
      <c r="F9" s="53"/>
      <c r="G9" s="53"/>
      <c r="H9" s="53"/>
      <c r="I9" s="66"/>
      <c r="J9" s="22"/>
    </row>
    <row r="10" spans="1:10" ht="12.75">
      <c r="A10" s="54" t="s">
        <v>4</v>
      </c>
      <c r="B10" s="53"/>
      <c r="C10" s="60"/>
      <c r="D10" s="53"/>
      <c r="E10" s="60" t="s">
        <v>153</v>
      </c>
      <c r="F10" s="60" t="s">
        <v>155</v>
      </c>
      <c r="G10" s="53"/>
      <c r="H10" s="60" t="s">
        <v>197</v>
      </c>
      <c r="I10" s="68">
        <v>41636</v>
      </c>
      <c r="J10" s="22"/>
    </row>
    <row r="11" spans="1:10" ht="12.75">
      <c r="A11" s="55"/>
      <c r="B11" s="56"/>
      <c r="C11" s="56"/>
      <c r="D11" s="56"/>
      <c r="E11" s="56"/>
      <c r="F11" s="56"/>
      <c r="G11" s="56"/>
      <c r="H11" s="56"/>
      <c r="I11" s="69"/>
      <c r="J11" s="22"/>
    </row>
    <row r="12" spans="1:9" ht="23.25" customHeight="1">
      <c r="A12" s="70" t="s">
        <v>164</v>
      </c>
      <c r="B12" s="71"/>
      <c r="C12" s="71"/>
      <c r="D12" s="71"/>
      <c r="E12" s="71"/>
      <c r="F12" s="71"/>
      <c r="G12" s="71"/>
      <c r="H12" s="71"/>
      <c r="I12" s="71"/>
    </row>
    <row r="13" spans="1:10" ht="26.25" customHeight="1">
      <c r="A13" s="37" t="s">
        <v>165</v>
      </c>
      <c r="B13" s="72" t="s">
        <v>175</v>
      </c>
      <c r="C13" s="73"/>
      <c r="D13" s="37" t="s">
        <v>177</v>
      </c>
      <c r="E13" s="72" t="s">
        <v>183</v>
      </c>
      <c r="F13" s="73"/>
      <c r="G13" s="37" t="s">
        <v>184</v>
      </c>
      <c r="H13" s="72" t="s">
        <v>198</v>
      </c>
      <c r="I13" s="73"/>
      <c r="J13" s="22"/>
    </row>
    <row r="14" spans="1:10" ht="15" customHeight="1">
      <c r="A14" s="38" t="s">
        <v>166</v>
      </c>
      <c r="B14" s="43" t="s">
        <v>176</v>
      </c>
      <c r="C14" s="44"/>
      <c r="D14" s="63" t="s">
        <v>178</v>
      </c>
      <c r="E14" s="64"/>
      <c r="F14" s="44">
        <v>0</v>
      </c>
      <c r="G14" s="63" t="s">
        <v>185</v>
      </c>
      <c r="H14" s="64"/>
      <c r="I14" s="44"/>
      <c r="J14" s="22"/>
    </row>
    <row r="15" spans="1:10" ht="15" customHeight="1">
      <c r="A15" s="39"/>
      <c r="B15" s="43" t="s">
        <v>154</v>
      </c>
      <c r="C15" s="44"/>
      <c r="D15" s="63" t="s">
        <v>179</v>
      </c>
      <c r="E15" s="64"/>
      <c r="F15" s="44">
        <v>0</v>
      </c>
      <c r="G15" s="63" t="s">
        <v>186</v>
      </c>
      <c r="H15" s="64"/>
      <c r="I15" s="44">
        <v>0</v>
      </c>
      <c r="J15" s="22"/>
    </row>
    <row r="16" spans="1:10" ht="15" customHeight="1">
      <c r="A16" s="38" t="s">
        <v>167</v>
      </c>
      <c r="B16" s="43" t="s">
        <v>176</v>
      </c>
      <c r="C16" s="44"/>
      <c r="D16" s="63" t="s">
        <v>180</v>
      </c>
      <c r="E16" s="64"/>
      <c r="F16" s="44">
        <v>0</v>
      </c>
      <c r="G16" s="63" t="s">
        <v>187</v>
      </c>
      <c r="H16" s="64"/>
      <c r="I16" s="44">
        <v>0</v>
      </c>
      <c r="J16" s="22"/>
    </row>
    <row r="17" spans="1:10" ht="15" customHeight="1">
      <c r="A17" s="39"/>
      <c r="B17" s="43" t="s">
        <v>154</v>
      </c>
      <c r="C17" s="44"/>
      <c r="D17" s="63"/>
      <c r="E17" s="64"/>
      <c r="F17" s="47"/>
      <c r="G17" s="63" t="s">
        <v>188</v>
      </c>
      <c r="H17" s="64"/>
      <c r="I17" s="44">
        <v>0</v>
      </c>
      <c r="J17" s="22"/>
    </row>
    <row r="18" spans="1:10" ht="15" customHeight="1">
      <c r="A18" s="38" t="s">
        <v>168</v>
      </c>
      <c r="B18" s="43" t="s">
        <v>176</v>
      </c>
      <c r="C18" s="44">
        <v>0</v>
      </c>
      <c r="D18" s="63"/>
      <c r="E18" s="64"/>
      <c r="F18" s="47"/>
      <c r="G18" s="63" t="s">
        <v>189</v>
      </c>
      <c r="H18" s="64"/>
      <c r="I18" s="44">
        <v>0</v>
      </c>
      <c r="J18" s="22"/>
    </row>
    <row r="19" spans="1:10" ht="15" customHeight="1">
      <c r="A19" s="39"/>
      <c r="B19" s="43" t="s">
        <v>154</v>
      </c>
      <c r="C19" s="44">
        <v>0</v>
      </c>
      <c r="D19" s="63"/>
      <c r="E19" s="64"/>
      <c r="F19" s="47"/>
      <c r="G19" s="63" t="s">
        <v>190</v>
      </c>
      <c r="H19" s="64"/>
      <c r="I19" s="44">
        <v>0</v>
      </c>
      <c r="J19" s="22"/>
    </row>
    <row r="20" spans="1:10" ht="15" customHeight="1">
      <c r="A20" s="76" t="s">
        <v>169</v>
      </c>
      <c r="B20" s="77"/>
      <c r="C20" s="44">
        <v>0</v>
      </c>
      <c r="D20" s="63"/>
      <c r="E20" s="64"/>
      <c r="F20" s="47"/>
      <c r="G20" s="63"/>
      <c r="H20" s="64"/>
      <c r="I20" s="47"/>
      <c r="J20" s="22"/>
    </row>
    <row r="21" spans="1:10" ht="15" customHeight="1">
      <c r="A21" s="76" t="s">
        <v>170</v>
      </c>
      <c r="B21" s="77"/>
      <c r="C21" s="44">
        <v>-0.00999999996565748</v>
      </c>
      <c r="D21" s="63"/>
      <c r="E21" s="64"/>
      <c r="F21" s="47"/>
      <c r="G21" s="63"/>
      <c r="H21" s="64"/>
      <c r="I21" s="47"/>
      <c r="J21" s="22"/>
    </row>
    <row r="22" spans="1:10" ht="39.75" customHeight="1">
      <c r="A22" s="76" t="s">
        <v>171</v>
      </c>
      <c r="B22" s="77"/>
      <c r="C22" s="44"/>
      <c r="D22" s="76" t="s">
        <v>181</v>
      </c>
      <c r="E22" s="77"/>
      <c r="F22" s="44"/>
      <c r="G22" s="76" t="s">
        <v>191</v>
      </c>
      <c r="H22" s="77"/>
      <c r="I22" s="44"/>
      <c r="J22" s="22"/>
    </row>
    <row r="23" spans="1:9" ht="12.75">
      <c r="A23" s="40"/>
      <c r="B23" s="40"/>
      <c r="C23" s="40"/>
      <c r="D23" s="7"/>
      <c r="E23" s="7"/>
      <c r="F23" s="7"/>
      <c r="G23" s="7"/>
      <c r="H23" s="7"/>
      <c r="I23" s="7"/>
    </row>
    <row r="24" spans="1:9" ht="15" customHeight="1">
      <c r="A24" s="74" t="s">
        <v>172</v>
      </c>
      <c r="B24" s="75"/>
      <c r="C24" s="45">
        <v>0</v>
      </c>
      <c r="D24" s="46"/>
      <c r="E24" s="34"/>
      <c r="F24" s="34"/>
      <c r="G24" s="34"/>
      <c r="H24" s="34"/>
      <c r="I24" s="34"/>
    </row>
    <row r="25" spans="1:10" ht="15" customHeight="1">
      <c r="A25" s="74" t="s">
        <v>172</v>
      </c>
      <c r="B25" s="75"/>
      <c r="C25" s="45">
        <v>0</v>
      </c>
      <c r="D25" s="74" t="s">
        <v>199</v>
      </c>
      <c r="E25" s="75"/>
      <c r="F25" s="45">
        <v>0</v>
      </c>
      <c r="G25" s="74" t="s">
        <v>192</v>
      </c>
      <c r="H25" s="75"/>
      <c r="I25" s="45"/>
      <c r="J25" s="22"/>
    </row>
    <row r="26" spans="1:10" ht="15" customHeight="1">
      <c r="A26" s="74" t="s">
        <v>200</v>
      </c>
      <c r="B26" s="75"/>
      <c r="C26" s="45"/>
      <c r="D26" s="74" t="s">
        <v>201</v>
      </c>
      <c r="E26" s="75"/>
      <c r="F26" s="45"/>
      <c r="G26" s="74" t="s">
        <v>193</v>
      </c>
      <c r="H26" s="75"/>
      <c r="I26" s="45"/>
      <c r="J26" s="22"/>
    </row>
    <row r="27" spans="1:9" ht="12.75">
      <c r="A27" s="41"/>
      <c r="B27" s="41"/>
      <c r="C27" s="41"/>
      <c r="D27" s="41"/>
      <c r="E27" s="41"/>
      <c r="F27" s="41"/>
      <c r="G27" s="41"/>
      <c r="H27" s="41"/>
      <c r="I27" s="41"/>
    </row>
    <row r="28" spans="1:10" ht="14.25" customHeight="1">
      <c r="A28" s="78" t="s">
        <v>173</v>
      </c>
      <c r="B28" s="79"/>
      <c r="C28" s="80"/>
      <c r="D28" s="78" t="s">
        <v>182</v>
      </c>
      <c r="E28" s="79"/>
      <c r="F28" s="80"/>
      <c r="G28" s="78" t="s">
        <v>194</v>
      </c>
      <c r="H28" s="79"/>
      <c r="I28" s="80"/>
      <c r="J28" s="23"/>
    </row>
    <row r="29" spans="1:10" ht="14.25" customHeight="1">
      <c r="A29" s="81"/>
      <c r="B29" s="82"/>
      <c r="C29" s="83"/>
      <c r="D29" s="81"/>
      <c r="E29" s="82"/>
      <c r="F29" s="83"/>
      <c r="G29" s="81"/>
      <c r="H29" s="82"/>
      <c r="I29" s="83"/>
      <c r="J29" s="23"/>
    </row>
    <row r="30" spans="1:10" ht="14.25" customHeight="1">
      <c r="A30" s="81"/>
      <c r="B30" s="82"/>
      <c r="C30" s="83"/>
      <c r="D30" s="81"/>
      <c r="E30" s="82"/>
      <c r="F30" s="83"/>
      <c r="G30" s="81"/>
      <c r="H30" s="82"/>
      <c r="I30" s="83"/>
      <c r="J30" s="23"/>
    </row>
    <row r="31" spans="1:10" ht="14.25" customHeight="1">
      <c r="A31" s="81"/>
      <c r="B31" s="82"/>
      <c r="C31" s="83"/>
      <c r="D31" s="81"/>
      <c r="E31" s="82"/>
      <c r="F31" s="83"/>
      <c r="G31" s="81"/>
      <c r="H31" s="82"/>
      <c r="I31" s="83"/>
      <c r="J31" s="23"/>
    </row>
    <row r="32" spans="1:10" ht="14.25" customHeight="1">
      <c r="A32" s="84" t="s">
        <v>174</v>
      </c>
      <c r="B32" s="85"/>
      <c r="C32" s="86"/>
      <c r="D32" s="84" t="s">
        <v>174</v>
      </c>
      <c r="E32" s="85"/>
      <c r="F32" s="86"/>
      <c r="G32" s="84" t="s">
        <v>174</v>
      </c>
      <c r="H32" s="85"/>
      <c r="I32" s="86"/>
      <c r="J32" s="23"/>
    </row>
    <row r="33" spans="1:9" ht="12.75">
      <c r="A33" s="42"/>
      <c r="B33" s="42"/>
      <c r="C33" s="42"/>
      <c r="D33" s="42"/>
      <c r="E33" s="42"/>
      <c r="F33" s="42"/>
      <c r="G33" s="42"/>
      <c r="H33" s="42"/>
      <c r="I33" s="42"/>
    </row>
  </sheetData>
  <sheetProtection/>
  <mergeCells count="78">
    <mergeCell ref="D29:F29"/>
    <mergeCell ref="D30:F30"/>
    <mergeCell ref="D31:F31"/>
    <mergeCell ref="D32:F32"/>
    <mergeCell ref="A26:B26"/>
    <mergeCell ref="G29:I29"/>
    <mergeCell ref="G30:I30"/>
    <mergeCell ref="G31:I31"/>
    <mergeCell ref="G32:I32"/>
    <mergeCell ref="A29:C29"/>
    <mergeCell ref="D26:E26"/>
    <mergeCell ref="A30:C30"/>
    <mergeCell ref="A31:C31"/>
    <mergeCell ref="A32:C32"/>
    <mergeCell ref="G25:H25"/>
    <mergeCell ref="G26:H26"/>
    <mergeCell ref="A28:C28"/>
    <mergeCell ref="G28:I28"/>
    <mergeCell ref="D28:F28"/>
    <mergeCell ref="G19:H19"/>
    <mergeCell ref="G20:H20"/>
    <mergeCell ref="G21:H21"/>
    <mergeCell ref="G22:H22"/>
    <mergeCell ref="A24:B24"/>
    <mergeCell ref="A25:B25"/>
    <mergeCell ref="D25:E25"/>
    <mergeCell ref="D18:E18"/>
    <mergeCell ref="D19:E19"/>
    <mergeCell ref="D20:E20"/>
    <mergeCell ref="D21:E21"/>
    <mergeCell ref="D22:E22"/>
    <mergeCell ref="A20:B20"/>
    <mergeCell ref="A21:B21"/>
    <mergeCell ref="A22:B22"/>
    <mergeCell ref="G14:H14"/>
    <mergeCell ref="G15:H15"/>
    <mergeCell ref="G16:H16"/>
    <mergeCell ref="G17:H17"/>
    <mergeCell ref="G18:H18"/>
    <mergeCell ref="B13:C13"/>
    <mergeCell ref="E13:F13"/>
    <mergeCell ref="H13:I13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C10:D11"/>
    <mergeCell ref="E2:E3"/>
    <mergeCell ref="E4:E5"/>
    <mergeCell ref="E6:E7"/>
    <mergeCell ref="E8:E9"/>
    <mergeCell ref="E10:E11"/>
    <mergeCell ref="A1:I1"/>
    <mergeCell ref="A2:B3"/>
    <mergeCell ref="A4:B5"/>
    <mergeCell ref="A6:B7"/>
    <mergeCell ref="A8:B9"/>
    <mergeCell ref="A10:B11"/>
    <mergeCell ref="C2:D3"/>
    <mergeCell ref="C4:D5"/>
    <mergeCell ref="C6:D7"/>
    <mergeCell ref="C8:D9"/>
  </mergeCells>
  <printOptions/>
  <pageMargins left="1.1811023622047245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D11" sqref="D11:F14"/>
    </sheetView>
  </sheetViews>
  <sheetFormatPr defaultColWidth="11.421875" defaultRowHeight="12.75"/>
  <cols>
    <col min="1" max="2" width="16.57421875" style="0" customWidth="1"/>
    <col min="3" max="3" width="38.0039062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</cols>
  <sheetData>
    <row r="1" spans="1:7" ht="21.75" customHeight="1">
      <c r="A1" s="87" t="s">
        <v>158</v>
      </c>
      <c r="B1" s="88"/>
      <c r="C1" s="88"/>
      <c r="D1" s="88"/>
      <c r="E1" s="88"/>
      <c r="F1" s="88"/>
      <c r="G1" s="34"/>
    </row>
    <row r="2" spans="1:8" ht="12.75">
      <c r="A2" s="50" t="s">
        <v>1</v>
      </c>
      <c r="B2" s="57" t="s">
        <v>86</v>
      </c>
      <c r="C2" s="58"/>
      <c r="D2" s="62" t="s">
        <v>150</v>
      </c>
      <c r="E2" s="62"/>
      <c r="F2" s="51"/>
      <c r="G2" s="91"/>
      <c r="H2" s="22"/>
    </row>
    <row r="3" spans="1:8" ht="12.75">
      <c r="A3" s="52"/>
      <c r="B3" s="59"/>
      <c r="C3" s="59"/>
      <c r="D3" s="53"/>
      <c r="E3" s="53"/>
      <c r="F3" s="53"/>
      <c r="G3" s="66"/>
      <c r="H3" s="22"/>
    </row>
    <row r="4" spans="1:8" ht="12.75">
      <c r="A4" s="54" t="s">
        <v>2</v>
      </c>
      <c r="B4" s="60" t="s">
        <v>87</v>
      </c>
      <c r="C4" s="53"/>
      <c r="D4" s="60" t="s">
        <v>151</v>
      </c>
      <c r="E4" s="60"/>
      <c r="F4" s="53"/>
      <c r="G4" s="66"/>
      <c r="H4" s="22"/>
    </row>
    <row r="5" spans="1:8" ht="12.75">
      <c r="A5" s="52"/>
      <c r="B5" s="53"/>
      <c r="C5" s="53"/>
      <c r="D5" s="53"/>
      <c r="E5" s="53"/>
      <c r="F5" s="53"/>
      <c r="G5" s="66"/>
      <c r="H5" s="22"/>
    </row>
    <row r="6" spans="1:8" ht="12.75">
      <c r="A6" s="54" t="s">
        <v>3</v>
      </c>
      <c r="B6" s="60" t="s">
        <v>88</v>
      </c>
      <c r="C6" s="53"/>
      <c r="D6" s="60" t="s">
        <v>152</v>
      </c>
      <c r="E6" s="60"/>
      <c r="F6" s="53"/>
      <c r="G6" s="66"/>
      <c r="H6" s="22"/>
    </row>
    <row r="7" spans="1:8" ht="12.75">
      <c r="A7" s="52"/>
      <c r="B7" s="53"/>
      <c r="C7" s="53"/>
      <c r="D7" s="53"/>
      <c r="E7" s="53"/>
      <c r="F7" s="53"/>
      <c r="G7" s="66"/>
      <c r="H7" s="22"/>
    </row>
    <row r="8" spans="1:8" ht="12.75">
      <c r="A8" s="54" t="s">
        <v>153</v>
      </c>
      <c r="B8" s="60" t="s">
        <v>155</v>
      </c>
      <c r="C8" s="53"/>
      <c r="D8" s="60" t="s">
        <v>135</v>
      </c>
      <c r="E8" s="61">
        <v>41636</v>
      </c>
      <c r="F8" s="53"/>
      <c r="G8" s="66"/>
      <c r="H8" s="22"/>
    </row>
    <row r="9" spans="1:8" ht="12.75">
      <c r="A9" s="89"/>
      <c r="B9" s="90"/>
      <c r="C9" s="90"/>
      <c r="D9" s="90"/>
      <c r="E9" s="90"/>
      <c r="F9" s="90"/>
      <c r="G9" s="92"/>
      <c r="H9" s="22"/>
    </row>
    <row r="10" spans="1:8" ht="12.75">
      <c r="A10" s="27" t="s">
        <v>45</v>
      </c>
      <c r="B10" s="29" t="s">
        <v>46</v>
      </c>
      <c r="C10" s="30" t="s">
        <v>89</v>
      </c>
      <c r="D10" s="31" t="s">
        <v>159</v>
      </c>
      <c r="E10" s="31" t="s">
        <v>160</v>
      </c>
      <c r="F10" s="31" t="s">
        <v>161</v>
      </c>
      <c r="G10" s="35" t="s">
        <v>162</v>
      </c>
      <c r="H10" s="23"/>
    </row>
    <row r="11" spans="1:7" ht="12.75">
      <c r="A11" s="28"/>
      <c r="B11" s="28" t="s">
        <v>18</v>
      </c>
      <c r="C11" s="28" t="s">
        <v>90</v>
      </c>
      <c r="D11" s="32"/>
      <c r="E11" s="32"/>
      <c r="F11" s="32"/>
      <c r="G11" s="32">
        <v>243</v>
      </c>
    </row>
    <row r="12" spans="1:7" ht="12.75">
      <c r="A12" s="4"/>
      <c r="B12" s="4" t="s">
        <v>57</v>
      </c>
      <c r="C12" s="4" t="s">
        <v>101</v>
      </c>
      <c r="D12" s="13"/>
      <c r="E12" s="13"/>
      <c r="F12" s="13"/>
      <c r="G12" s="13">
        <v>76.34137</v>
      </c>
    </row>
    <row r="13" spans="1:7" ht="12.75">
      <c r="A13" s="4"/>
      <c r="B13" s="4" t="s">
        <v>66</v>
      </c>
      <c r="C13" s="4" t="s">
        <v>110</v>
      </c>
      <c r="D13" s="13"/>
      <c r="E13" s="13"/>
      <c r="F13" s="13"/>
      <c r="G13" s="13">
        <v>139.95047</v>
      </c>
    </row>
    <row r="14" spans="1:7" ht="12.75">
      <c r="A14" s="4"/>
      <c r="B14" s="4" t="s">
        <v>81</v>
      </c>
      <c r="C14" s="4" t="s">
        <v>127</v>
      </c>
      <c r="D14" s="13"/>
      <c r="E14" s="13"/>
      <c r="F14" s="13"/>
      <c r="G14" s="13">
        <v>3.79492</v>
      </c>
    </row>
    <row r="16" spans="5:6" ht="12.75">
      <c r="E16" s="33" t="s">
        <v>149</v>
      </c>
      <c r="F16" s="36">
        <f>SUM(F11:F14)</f>
        <v>0</v>
      </c>
    </row>
  </sheetData>
  <sheetProtection/>
  <mergeCells count="17">
    <mergeCell ref="D4:D5"/>
    <mergeCell ref="D6:D7"/>
    <mergeCell ref="D8:D9"/>
    <mergeCell ref="E2:G3"/>
    <mergeCell ref="E4:G5"/>
    <mergeCell ref="E6:G7"/>
    <mergeCell ref="E8:G9"/>
    <mergeCell ref="A1:F1"/>
    <mergeCell ref="A2:A3"/>
    <mergeCell ref="A4:A5"/>
    <mergeCell ref="A6:A7"/>
    <mergeCell ref="A8:A9"/>
    <mergeCell ref="B2:C3"/>
    <mergeCell ref="B4:C5"/>
    <mergeCell ref="B6:C7"/>
    <mergeCell ref="B8:C9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PageLayoutView="0" workbookViewId="0" topLeftCell="A8">
      <selection activeCell="I57" sqref="I57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45.421875" style="0" customWidth="1"/>
    <col min="5" max="5" width="4.28125" style="0" customWidth="1"/>
    <col min="6" max="6" width="10.8515625" style="0" customWidth="1"/>
    <col min="7" max="7" width="12.00390625" style="0" customWidth="1"/>
    <col min="8" max="9" width="13.140625" style="0" customWidth="1"/>
    <col min="10" max="10" width="13.28125" style="0" customWidth="1"/>
    <col min="11" max="11" width="8.00390625" style="0" customWidth="1"/>
    <col min="12" max="12" width="11.7109375" style="0" customWidth="1"/>
  </cols>
  <sheetData>
    <row r="1" spans="1:12" ht="21.7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3" ht="12.75">
      <c r="A2" s="50" t="s">
        <v>1</v>
      </c>
      <c r="B2" s="51"/>
      <c r="C2" s="51"/>
      <c r="D2" s="57" t="s">
        <v>86</v>
      </c>
      <c r="E2" s="62" t="s">
        <v>132</v>
      </c>
      <c r="F2" s="51"/>
      <c r="G2" s="62"/>
      <c r="H2" s="51"/>
      <c r="I2" s="62" t="s">
        <v>150</v>
      </c>
      <c r="J2" s="62"/>
      <c r="K2" s="51"/>
      <c r="L2" s="91"/>
      <c r="M2" s="22"/>
    </row>
    <row r="3" spans="1:13" ht="12.75">
      <c r="A3" s="52"/>
      <c r="B3" s="53"/>
      <c r="C3" s="53"/>
      <c r="D3" s="59"/>
      <c r="E3" s="53"/>
      <c r="F3" s="53"/>
      <c r="G3" s="53"/>
      <c r="H3" s="53"/>
      <c r="I3" s="53"/>
      <c r="J3" s="53"/>
      <c r="K3" s="53"/>
      <c r="L3" s="66"/>
      <c r="M3" s="22"/>
    </row>
    <row r="4" spans="1:13" ht="12.75">
      <c r="A4" s="54" t="s">
        <v>2</v>
      </c>
      <c r="B4" s="53"/>
      <c r="C4" s="53"/>
      <c r="D4" s="60" t="s">
        <v>87</v>
      </c>
      <c r="E4" s="60" t="s">
        <v>133</v>
      </c>
      <c r="F4" s="53"/>
      <c r="G4" s="61"/>
      <c r="H4" s="53"/>
      <c r="I4" s="60" t="s">
        <v>151</v>
      </c>
      <c r="J4" s="60"/>
      <c r="K4" s="53"/>
      <c r="L4" s="66"/>
      <c r="M4" s="22"/>
    </row>
    <row r="5" spans="1:13" ht="12.7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66"/>
      <c r="M5" s="22"/>
    </row>
    <row r="6" spans="1:13" ht="12.75">
      <c r="A6" s="54" t="s">
        <v>3</v>
      </c>
      <c r="B6" s="53"/>
      <c r="C6" s="53"/>
      <c r="D6" s="60" t="s">
        <v>88</v>
      </c>
      <c r="E6" s="60" t="s">
        <v>134</v>
      </c>
      <c r="F6" s="53"/>
      <c r="G6" s="53"/>
      <c r="H6" s="53"/>
      <c r="I6" s="60" t="s">
        <v>152</v>
      </c>
      <c r="J6" s="60"/>
      <c r="K6" s="53"/>
      <c r="L6" s="66"/>
      <c r="M6" s="22"/>
    </row>
    <row r="7" spans="1:13" ht="12.7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66"/>
      <c r="M7" s="22"/>
    </row>
    <row r="8" spans="1:13" ht="12.75">
      <c r="A8" s="54" t="s">
        <v>4</v>
      </c>
      <c r="B8" s="53"/>
      <c r="C8" s="53"/>
      <c r="D8" s="60"/>
      <c r="E8" s="60" t="s">
        <v>135</v>
      </c>
      <c r="F8" s="53"/>
      <c r="G8" s="61">
        <v>41636</v>
      </c>
      <c r="H8" s="53"/>
      <c r="I8" s="60" t="s">
        <v>153</v>
      </c>
      <c r="J8" s="60" t="s">
        <v>155</v>
      </c>
      <c r="K8" s="53"/>
      <c r="L8" s="66"/>
      <c r="M8" s="22"/>
    </row>
    <row r="9" spans="1:13" ht="12.75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2"/>
      <c r="M9" s="22"/>
    </row>
    <row r="10" spans="1:13" ht="12.75">
      <c r="A10" s="1" t="s">
        <v>5</v>
      </c>
      <c r="B10" s="8" t="s">
        <v>5</v>
      </c>
      <c r="C10" s="8" t="s">
        <v>5</v>
      </c>
      <c r="D10" s="8" t="s">
        <v>5</v>
      </c>
      <c r="E10" s="8" t="s">
        <v>5</v>
      </c>
      <c r="F10" s="8" t="s">
        <v>5</v>
      </c>
      <c r="G10" s="15" t="s">
        <v>145</v>
      </c>
      <c r="H10" s="93" t="s">
        <v>147</v>
      </c>
      <c r="I10" s="94"/>
      <c r="J10" s="95"/>
      <c r="K10" s="93" t="s">
        <v>157</v>
      </c>
      <c r="L10" s="95"/>
      <c r="M10" s="23"/>
    </row>
    <row r="11" spans="1:13" ht="12.75">
      <c r="A11" s="2" t="s">
        <v>6</v>
      </c>
      <c r="B11" s="9" t="s">
        <v>45</v>
      </c>
      <c r="C11" s="9" t="s">
        <v>46</v>
      </c>
      <c r="D11" s="9" t="s">
        <v>89</v>
      </c>
      <c r="E11" s="9" t="s">
        <v>136</v>
      </c>
      <c r="F11" s="12" t="s">
        <v>144</v>
      </c>
      <c r="G11" s="16" t="s">
        <v>146</v>
      </c>
      <c r="H11" s="17" t="s">
        <v>148</v>
      </c>
      <c r="I11" s="18" t="s">
        <v>154</v>
      </c>
      <c r="J11" s="19" t="s">
        <v>156</v>
      </c>
      <c r="K11" s="17" t="s">
        <v>145</v>
      </c>
      <c r="L11" s="19" t="s">
        <v>156</v>
      </c>
      <c r="M11" s="23"/>
    </row>
    <row r="12" spans="1:12" ht="12.75">
      <c r="A12" s="3"/>
      <c r="B12" s="3"/>
      <c r="C12" s="10" t="s">
        <v>18</v>
      </c>
      <c r="D12" s="96" t="s">
        <v>90</v>
      </c>
      <c r="E12" s="97"/>
      <c r="F12" s="97"/>
      <c r="G12" s="97"/>
      <c r="H12" s="24">
        <f>SUM(H13:H22)</f>
        <v>0</v>
      </c>
      <c r="I12" s="24">
        <f>SUM(I13:I22)</f>
        <v>0</v>
      </c>
      <c r="J12" s="24">
        <f aca="true" t="shared" si="0" ref="J12:J53">H12+I12</f>
        <v>0</v>
      </c>
      <c r="K12" s="20"/>
      <c r="L12" s="24">
        <f>SUM(L13:L22)</f>
        <v>243</v>
      </c>
    </row>
    <row r="13" spans="1:12" ht="12.75">
      <c r="A13" s="4" t="s">
        <v>7</v>
      </c>
      <c r="B13" s="4"/>
      <c r="C13" s="4" t="s">
        <v>47</v>
      </c>
      <c r="D13" s="4" t="s">
        <v>91</v>
      </c>
      <c r="E13" s="4" t="s">
        <v>137</v>
      </c>
      <c r="F13" s="13">
        <v>13</v>
      </c>
      <c r="G13" s="13"/>
      <c r="H13" s="13">
        <f aca="true" t="shared" si="1" ref="H13:H22">F13*G13*0</f>
        <v>0</v>
      </c>
      <c r="I13" s="13">
        <f aca="true" t="shared" si="2" ref="I13:I22">F13*G13*(1-0)</f>
        <v>0</v>
      </c>
      <c r="J13" s="13">
        <f t="shared" si="0"/>
        <v>0</v>
      </c>
      <c r="K13" s="13">
        <v>0</v>
      </c>
      <c r="L13" s="13">
        <f aca="true" t="shared" si="3" ref="L13:L22">F13*K13</f>
        <v>0</v>
      </c>
    </row>
    <row r="14" spans="1:12" ht="12.75">
      <c r="A14" s="4" t="s">
        <v>8</v>
      </c>
      <c r="B14" s="4"/>
      <c r="C14" s="4" t="s">
        <v>48</v>
      </c>
      <c r="D14" s="4" t="s">
        <v>92</v>
      </c>
      <c r="E14" s="4" t="s">
        <v>137</v>
      </c>
      <c r="F14" s="13">
        <v>13</v>
      </c>
      <c r="G14" s="13"/>
      <c r="H14" s="13">
        <f t="shared" si="1"/>
        <v>0</v>
      </c>
      <c r="I14" s="13">
        <f t="shared" si="2"/>
        <v>0</v>
      </c>
      <c r="J14" s="13">
        <f t="shared" si="0"/>
        <v>0</v>
      </c>
      <c r="K14" s="13">
        <v>0</v>
      </c>
      <c r="L14" s="13">
        <f t="shared" si="3"/>
        <v>0</v>
      </c>
    </row>
    <row r="15" spans="1:12" ht="12.75">
      <c r="A15" s="4" t="s">
        <v>9</v>
      </c>
      <c r="B15" s="4"/>
      <c r="C15" s="4" t="s">
        <v>49</v>
      </c>
      <c r="D15" s="4" t="s">
        <v>93</v>
      </c>
      <c r="E15" s="4" t="s">
        <v>137</v>
      </c>
      <c r="F15" s="13">
        <v>13</v>
      </c>
      <c r="G15" s="13"/>
      <c r="H15" s="13">
        <f t="shared" si="1"/>
        <v>0</v>
      </c>
      <c r="I15" s="13">
        <f t="shared" si="2"/>
        <v>0</v>
      </c>
      <c r="J15" s="13">
        <f t="shared" si="0"/>
        <v>0</v>
      </c>
      <c r="K15" s="13">
        <v>0</v>
      </c>
      <c r="L15" s="13">
        <f t="shared" si="3"/>
        <v>0</v>
      </c>
    </row>
    <row r="16" spans="1:12" ht="12.75">
      <c r="A16" s="4" t="s">
        <v>10</v>
      </c>
      <c r="B16" s="4"/>
      <c r="C16" s="4" t="s">
        <v>50</v>
      </c>
      <c r="D16" s="4" t="s">
        <v>94</v>
      </c>
      <c r="E16" s="4" t="s">
        <v>137</v>
      </c>
      <c r="F16" s="13">
        <v>143</v>
      </c>
      <c r="G16" s="13"/>
      <c r="H16" s="13">
        <f t="shared" si="1"/>
        <v>0</v>
      </c>
      <c r="I16" s="13">
        <f t="shared" si="2"/>
        <v>0</v>
      </c>
      <c r="J16" s="13">
        <f t="shared" si="0"/>
        <v>0</v>
      </c>
      <c r="K16" s="13">
        <v>0</v>
      </c>
      <c r="L16" s="13">
        <f t="shared" si="3"/>
        <v>0</v>
      </c>
    </row>
    <row r="17" spans="1:12" ht="12.75">
      <c r="A17" s="4" t="s">
        <v>11</v>
      </c>
      <c r="B17" s="4"/>
      <c r="C17" s="4" t="s">
        <v>51</v>
      </c>
      <c r="D17" s="4" t="s">
        <v>95</v>
      </c>
      <c r="E17" s="4" t="s">
        <v>138</v>
      </c>
      <c r="F17" s="13">
        <v>243</v>
      </c>
      <c r="G17" s="13"/>
      <c r="H17" s="13">
        <f t="shared" si="1"/>
        <v>0</v>
      </c>
      <c r="I17" s="13">
        <f t="shared" si="2"/>
        <v>0</v>
      </c>
      <c r="J17" s="13">
        <f t="shared" si="0"/>
        <v>0</v>
      </c>
      <c r="K17" s="13">
        <v>1</v>
      </c>
      <c r="L17" s="13">
        <f t="shared" si="3"/>
        <v>243</v>
      </c>
    </row>
    <row r="18" spans="1:12" ht="12.75">
      <c r="A18" s="4" t="s">
        <v>12</v>
      </c>
      <c r="B18" s="4"/>
      <c r="C18" s="4" t="s">
        <v>52</v>
      </c>
      <c r="D18" s="4" t="s">
        <v>96</v>
      </c>
      <c r="E18" s="4" t="s">
        <v>139</v>
      </c>
      <c r="F18" s="13">
        <v>163</v>
      </c>
      <c r="G18" s="13"/>
      <c r="H18" s="13">
        <f t="shared" si="1"/>
        <v>0</v>
      </c>
      <c r="I18" s="13">
        <f t="shared" si="2"/>
        <v>0</v>
      </c>
      <c r="J18" s="13">
        <f t="shared" si="0"/>
        <v>0</v>
      </c>
      <c r="K18" s="13">
        <v>0</v>
      </c>
      <c r="L18" s="13">
        <f t="shared" si="3"/>
        <v>0</v>
      </c>
    </row>
    <row r="19" spans="1:12" ht="12.75">
      <c r="A19" s="4" t="s">
        <v>13</v>
      </c>
      <c r="B19" s="4"/>
      <c r="C19" s="4" t="s">
        <v>53</v>
      </c>
      <c r="D19" s="4" t="s">
        <v>97</v>
      </c>
      <c r="E19" s="4" t="s">
        <v>137</v>
      </c>
      <c r="F19" s="13">
        <v>8</v>
      </c>
      <c r="G19" s="13"/>
      <c r="H19" s="13">
        <f t="shared" si="1"/>
        <v>0</v>
      </c>
      <c r="I19" s="13">
        <f t="shared" si="2"/>
        <v>0</v>
      </c>
      <c r="J19" s="13">
        <f t="shared" si="0"/>
        <v>0</v>
      </c>
      <c r="K19" s="13">
        <v>0</v>
      </c>
      <c r="L19" s="13">
        <f t="shared" si="3"/>
        <v>0</v>
      </c>
    </row>
    <row r="20" spans="1:12" ht="12.75">
      <c r="A20" s="4" t="s">
        <v>14</v>
      </c>
      <c r="B20" s="4"/>
      <c r="C20" s="4" t="s">
        <v>54</v>
      </c>
      <c r="D20" s="4" t="s">
        <v>98</v>
      </c>
      <c r="E20" s="4" t="s">
        <v>137</v>
      </c>
      <c r="F20" s="13">
        <v>8</v>
      </c>
      <c r="G20" s="13"/>
      <c r="H20" s="13">
        <f t="shared" si="1"/>
        <v>0</v>
      </c>
      <c r="I20" s="13">
        <f t="shared" si="2"/>
        <v>0</v>
      </c>
      <c r="J20" s="13">
        <f t="shared" si="0"/>
        <v>0</v>
      </c>
      <c r="K20" s="13">
        <v>0</v>
      </c>
      <c r="L20" s="13">
        <f t="shared" si="3"/>
        <v>0</v>
      </c>
    </row>
    <row r="21" spans="1:12" ht="12.75">
      <c r="A21" s="4" t="s">
        <v>15</v>
      </c>
      <c r="B21" s="4"/>
      <c r="C21" s="4" t="s">
        <v>55</v>
      </c>
      <c r="D21" s="4" t="s">
        <v>99</v>
      </c>
      <c r="E21" s="4" t="s">
        <v>137</v>
      </c>
      <c r="F21" s="13">
        <v>8</v>
      </c>
      <c r="G21" s="13"/>
      <c r="H21" s="13">
        <f t="shared" si="1"/>
        <v>0</v>
      </c>
      <c r="I21" s="13">
        <f t="shared" si="2"/>
        <v>0</v>
      </c>
      <c r="J21" s="13">
        <f t="shared" si="0"/>
        <v>0</v>
      </c>
      <c r="K21" s="13">
        <v>0</v>
      </c>
      <c r="L21" s="13">
        <f t="shared" si="3"/>
        <v>0</v>
      </c>
    </row>
    <row r="22" spans="1:12" ht="12.75">
      <c r="A22" s="4" t="s">
        <v>16</v>
      </c>
      <c r="B22" s="4"/>
      <c r="C22" s="4" t="s">
        <v>56</v>
      </c>
      <c r="D22" s="4" t="s">
        <v>100</v>
      </c>
      <c r="E22" s="4" t="s">
        <v>137</v>
      </c>
      <c r="F22" s="13">
        <v>130</v>
      </c>
      <c r="G22" s="13"/>
      <c r="H22" s="13">
        <f t="shared" si="1"/>
        <v>0</v>
      </c>
      <c r="I22" s="13">
        <f t="shared" si="2"/>
        <v>0</v>
      </c>
      <c r="J22" s="13">
        <f t="shared" si="0"/>
        <v>0</v>
      </c>
      <c r="K22" s="13">
        <v>0</v>
      </c>
      <c r="L22" s="13">
        <f t="shared" si="3"/>
        <v>0</v>
      </c>
    </row>
    <row r="23" spans="1:12" ht="12.75">
      <c r="A23" s="5"/>
      <c r="B23" s="5"/>
      <c r="C23" s="11" t="s">
        <v>57</v>
      </c>
      <c r="D23" s="98" t="s">
        <v>101</v>
      </c>
      <c r="E23" s="99"/>
      <c r="F23" s="99"/>
      <c r="G23" s="99"/>
      <c r="H23" s="25">
        <f>SUM(H24:H31)</f>
        <v>0</v>
      </c>
      <c r="I23" s="25">
        <f>SUM(I24:I31)</f>
        <v>0</v>
      </c>
      <c r="J23" s="25">
        <f t="shared" si="0"/>
        <v>0</v>
      </c>
      <c r="K23" s="21"/>
      <c r="L23" s="25">
        <f>SUM(L24:L31)</f>
        <v>76.34137</v>
      </c>
    </row>
    <row r="24" spans="1:12" ht="12.75">
      <c r="A24" s="4" t="s">
        <v>17</v>
      </c>
      <c r="B24" s="4"/>
      <c r="C24" s="4" t="s">
        <v>58</v>
      </c>
      <c r="D24" s="4" t="s">
        <v>102</v>
      </c>
      <c r="E24" s="4" t="s">
        <v>139</v>
      </c>
      <c r="F24" s="13">
        <v>69</v>
      </c>
      <c r="G24" s="13"/>
      <c r="H24" s="13">
        <f>F24*G24*0.862598504748434</f>
        <v>0</v>
      </c>
      <c r="I24" s="13">
        <f>F24*G24*(1-0.862598504748434)</f>
        <v>0</v>
      </c>
      <c r="J24" s="13">
        <f t="shared" si="0"/>
        <v>0</v>
      </c>
      <c r="K24" s="13">
        <v>0.2224</v>
      </c>
      <c r="L24" s="13">
        <f aca="true" t="shared" si="4" ref="L24:L31">F24*K24</f>
        <v>15.3456</v>
      </c>
    </row>
    <row r="25" spans="1:12" ht="12.75">
      <c r="A25" s="4" t="s">
        <v>18</v>
      </c>
      <c r="B25" s="4"/>
      <c r="C25" s="4" t="s">
        <v>59</v>
      </c>
      <c r="D25" s="4" t="s">
        <v>103</v>
      </c>
      <c r="E25" s="4" t="s">
        <v>139</v>
      </c>
      <c r="F25" s="13">
        <v>42</v>
      </c>
      <c r="G25" s="13"/>
      <c r="H25" s="13">
        <f>F25*G25*0.842006465741996</f>
        <v>0</v>
      </c>
      <c r="I25" s="13">
        <f>F25*G25*(1-0.842006465741996)</f>
        <v>0</v>
      </c>
      <c r="J25" s="13">
        <f t="shared" si="0"/>
        <v>0</v>
      </c>
      <c r="K25" s="13">
        <v>0.30994</v>
      </c>
      <c r="L25" s="13">
        <f t="shared" si="4"/>
        <v>13.017479999999999</v>
      </c>
    </row>
    <row r="26" spans="1:12" ht="12.75">
      <c r="A26" s="4" t="s">
        <v>19</v>
      </c>
      <c r="B26" s="4"/>
      <c r="C26" s="4" t="s">
        <v>60</v>
      </c>
      <c r="D26" s="4" t="s">
        <v>104</v>
      </c>
      <c r="E26" s="4" t="s">
        <v>139</v>
      </c>
      <c r="F26" s="13">
        <v>16</v>
      </c>
      <c r="G26" s="13"/>
      <c r="H26" s="13">
        <f>F26*G26*0.622985553772071</f>
        <v>0</v>
      </c>
      <c r="I26" s="13">
        <f>F26*G26*(1-0.622985553772071)</f>
        <v>0</v>
      </c>
      <c r="J26" s="13">
        <f t="shared" si="0"/>
        <v>0</v>
      </c>
      <c r="K26" s="13">
        <v>0.54</v>
      </c>
      <c r="L26" s="13">
        <f t="shared" si="4"/>
        <v>8.64</v>
      </c>
    </row>
    <row r="27" spans="1:12" ht="12.75">
      <c r="A27" s="4" t="s">
        <v>20</v>
      </c>
      <c r="B27" s="4"/>
      <c r="C27" s="4" t="s">
        <v>61</v>
      </c>
      <c r="D27" s="4" t="s">
        <v>105</v>
      </c>
      <c r="E27" s="4" t="s">
        <v>140</v>
      </c>
      <c r="F27" s="13">
        <v>90</v>
      </c>
      <c r="G27" s="13"/>
      <c r="H27" s="13">
        <f>F27*G27*0.88939525833376</f>
        <v>0</v>
      </c>
      <c r="I27" s="13">
        <f>F27*G27*(1-0.88939525833376)</f>
        <v>0</v>
      </c>
      <c r="J27" s="13">
        <f t="shared" si="0"/>
        <v>0</v>
      </c>
      <c r="K27" s="13">
        <v>0.1834</v>
      </c>
      <c r="L27" s="13">
        <f t="shared" si="4"/>
        <v>16.506</v>
      </c>
    </row>
    <row r="28" spans="1:12" ht="12.75">
      <c r="A28" s="4" t="s">
        <v>21</v>
      </c>
      <c r="B28" s="4"/>
      <c r="C28" s="4" t="s">
        <v>62</v>
      </c>
      <c r="D28" s="4" t="s">
        <v>106</v>
      </c>
      <c r="E28" s="4" t="s">
        <v>137</v>
      </c>
      <c r="F28" s="13">
        <v>3</v>
      </c>
      <c r="G28" s="13"/>
      <c r="H28" s="13">
        <f>F28*G28*0.875123860935325</f>
        <v>0</v>
      </c>
      <c r="I28" s="13">
        <f>F28*G28*(1-0.875123860935325)</f>
        <v>0</v>
      </c>
      <c r="J28" s="13">
        <f t="shared" si="0"/>
        <v>0</v>
      </c>
      <c r="K28" s="13">
        <v>2.37855</v>
      </c>
      <c r="L28" s="13">
        <f t="shared" si="4"/>
        <v>7.13565</v>
      </c>
    </row>
    <row r="29" spans="1:12" ht="12.75">
      <c r="A29" s="4" t="s">
        <v>22</v>
      </c>
      <c r="B29" s="4"/>
      <c r="C29" s="4" t="s">
        <v>63</v>
      </c>
      <c r="D29" s="4" t="s">
        <v>107</v>
      </c>
      <c r="E29" s="4" t="s">
        <v>139</v>
      </c>
      <c r="F29" s="13">
        <v>16</v>
      </c>
      <c r="G29" s="13"/>
      <c r="H29" s="13">
        <f>F29*G29*0.570287539936102</f>
        <v>0</v>
      </c>
      <c r="I29" s="13">
        <f>F29*G29*(1-0.570287539936102)</f>
        <v>0</v>
      </c>
      <c r="J29" s="13">
        <f t="shared" si="0"/>
        <v>0</v>
      </c>
      <c r="K29" s="13">
        <v>0.10354</v>
      </c>
      <c r="L29" s="13">
        <f t="shared" si="4"/>
        <v>1.65664</v>
      </c>
    </row>
    <row r="30" spans="1:12" ht="12.75">
      <c r="A30" s="4" t="s">
        <v>23</v>
      </c>
      <c r="B30" s="4"/>
      <c r="C30" s="4" t="s">
        <v>64</v>
      </c>
      <c r="D30" s="4" t="s">
        <v>108</v>
      </c>
      <c r="E30" s="4" t="s">
        <v>139</v>
      </c>
      <c r="F30" s="13">
        <v>26</v>
      </c>
      <c r="G30" s="13"/>
      <c r="H30" s="13">
        <f>F30*G30*0.660078277886497</f>
        <v>0</v>
      </c>
      <c r="I30" s="13">
        <f>F30*G30*(1-0.660078277886497)</f>
        <v>0</v>
      </c>
      <c r="J30" s="13">
        <f t="shared" si="0"/>
        <v>0</v>
      </c>
      <c r="K30" s="13">
        <v>0.54</v>
      </c>
      <c r="L30" s="13">
        <f t="shared" si="4"/>
        <v>14.040000000000001</v>
      </c>
    </row>
    <row r="31" spans="1:12" ht="12.75">
      <c r="A31" s="4" t="s">
        <v>24</v>
      </c>
      <c r="B31" s="4"/>
      <c r="C31" s="4" t="s">
        <v>65</v>
      </c>
      <c r="D31" s="4" t="s">
        <v>109</v>
      </c>
      <c r="E31" s="4" t="s">
        <v>138</v>
      </c>
      <c r="F31" s="13">
        <v>76</v>
      </c>
      <c r="G31" s="13"/>
      <c r="H31" s="13">
        <f>F31*G31*0</f>
        <v>0</v>
      </c>
      <c r="I31" s="13">
        <f>F31*G31*(1-0)</f>
        <v>0</v>
      </c>
      <c r="J31" s="13">
        <f t="shared" si="0"/>
        <v>0</v>
      </c>
      <c r="K31" s="13">
        <v>0</v>
      </c>
      <c r="L31" s="13">
        <f t="shared" si="4"/>
        <v>0</v>
      </c>
    </row>
    <row r="32" spans="1:12" ht="12.75">
      <c r="A32" s="5"/>
      <c r="B32" s="5"/>
      <c r="C32" s="11" t="s">
        <v>66</v>
      </c>
      <c r="D32" s="98" t="s">
        <v>110</v>
      </c>
      <c r="E32" s="99"/>
      <c r="F32" s="99"/>
      <c r="G32" s="99"/>
      <c r="H32" s="25">
        <f>SUM(H33:H48)</f>
        <v>0</v>
      </c>
      <c r="I32" s="25">
        <f>SUM(I33:I48)</f>
        <v>0</v>
      </c>
      <c r="J32" s="25">
        <f t="shared" si="0"/>
        <v>0</v>
      </c>
      <c r="K32" s="21"/>
      <c r="L32" s="25">
        <f>SUM(L33:L48)</f>
        <v>139.950467</v>
      </c>
    </row>
    <row r="33" spans="1:12" ht="12.75">
      <c r="A33" s="4" t="s">
        <v>25</v>
      </c>
      <c r="B33" s="4"/>
      <c r="C33" s="4" t="s">
        <v>67</v>
      </c>
      <c r="D33" s="4" t="s">
        <v>111</v>
      </c>
      <c r="E33" s="4" t="s">
        <v>139</v>
      </c>
      <c r="F33" s="13">
        <v>132</v>
      </c>
      <c r="G33" s="13"/>
      <c r="H33" s="13">
        <f>F33*G33*1</f>
        <v>0</v>
      </c>
      <c r="I33" s="13">
        <f>F33*G33*(1-1)</f>
        <v>0</v>
      </c>
      <c r="J33" s="13">
        <f t="shared" si="0"/>
        <v>0</v>
      </c>
      <c r="K33" s="13">
        <v>0.00292</v>
      </c>
      <c r="L33" s="13">
        <f aca="true" t="shared" si="5" ref="L33:L48">F33*K33</f>
        <v>0.38544</v>
      </c>
    </row>
    <row r="34" spans="1:12" ht="12.75">
      <c r="A34" s="4" t="s">
        <v>26</v>
      </c>
      <c r="B34" s="4"/>
      <c r="C34" s="4" t="s">
        <v>68</v>
      </c>
      <c r="D34" s="4" t="s">
        <v>112</v>
      </c>
      <c r="E34" s="4" t="s">
        <v>141</v>
      </c>
      <c r="F34" s="13">
        <v>5</v>
      </c>
      <c r="G34" s="13"/>
      <c r="H34" s="13">
        <f>F34*G34*1</f>
        <v>0</v>
      </c>
      <c r="I34" s="13">
        <f>F34*G34*(1-1)</f>
        <v>0</v>
      </c>
      <c r="J34" s="13">
        <f t="shared" si="0"/>
        <v>0</v>
      </c>
      <c r="K34" s="13">
        <v>0.0046</v>
      </c>
      <c r="L34" s="13">
        <f t="shared" si="5"/>
        <v>0.023</v>
      </c>
    </row>
    <row r="35" spans="1:12" ht="12.75">
      <c r="A35" s="4" t="s">
        <v>27</v>
      </c>
      <c r="B35" s="4"/>
      <c r="C35" s="4" t="s">
        <v>69</v>
      </c>
      <c r="D35" s="4" t="s">
        <v>113</v>
      </c>
      <c r="E35" s="4" t="s">
        <v>139</v>
      </c>
      <c r="F35" s="13">
        <v>120</v>
      </c>
      <c r="G35" s="13"/>
      <c r="H35" s="13">
        <f>F35*G35*0.73945136058169</f>
        <v>0</v>
      </c>
      <c r="I35" s="13">
        <f>F35*G35*(1-0.73945136058169)</f>
        <v>0</v>
      </c>
      <c r="J35" s="13">
        <f t="shared" si="0"/>
        <v>0</v>
      </c>
      <c r="K35" s="13">
        <v>0.33361</v>
      </c>
      <c r="L35" s="13">
        <f t="shared" si="5"/>
        <v>40.0332</v>
      </c>
    </row>
    <row r="36" spans="1:12" ht="12.75">
      <c r="A36" s="4" t="s">
        <v>28</v>
      </c>
      <c r="B36" s="4"/>
      <c r="C36" s="4" t="s">
        <v>70</v>
      </c>
      <c r="D36" s="4" t="s">
        <v>114</v>
      </c>
      <c r="E36" s="4" t="s">
        <v>139</v>
      </c>
      <c r="F36" s="13">
        <v>260</v>
      </c>
      <c r="G36" s="13"/>
      <c r="H36" s="13">
        <f>F36*G36*1</f>
        <v>0</v>
      </c>
      <c r="I36" s="13">
        <f>F36*G36*(1-1)</f>
        <v>0</v>
      </c>
      <c r="J36" s="13">
        <f t="shared" si="0"/>
        <v>0</v>
      </c>
      <c r="K36" s="13">
        <v>0.00023</v>
      </c>
      <c r="L36" s="13">
        <f t="shared" si="5"/>
        <v>0.0598</v>
      </c>
    </row>
    <row r="37" spans="1:12" ht="12.75">
      <c r="A37" s="4" t="s">
        <v>29</v>
      </c>
      <c r="B37" s="4"/>
      <c r="C37" s="4" t="s">
        <v>71</v>
      </c>
      <c r="D37" s="4" t="s">
        <v>115</v>
      </c>
      <c r="E37" s="4" t="s">
        <v>139</v>
      </c>
      <c r="F37" s="13">
        <v>71</v>
      </c>
      <c r="G37" s="13"/>
      <c r="H37" s="13">
        <f>F37*G37*0.449462726662189</f>
        <v>0</v>
      </c>
      <c r="I37" s="13">
        <f>F37*G37*(1-0.449462726662189)</f>
        <v>0</v>
      </c>
      <c r="J37" s="13">
        <f t="shared" si="0"/>
        <v>0</v>
      </c>
      <c r="K37" s="13">
        <v>0.00371</v>
      </c>
      <c r="L37" s="13">
        <f t="shared" si="5"/>
        <v>0.26341000000000003</v>
      </c>
    </row>
    <row r="38" spans="1:12" ht="12.75">
      <c r="A38" s="4" t="s">
        <v>30</v>
      </c>
      <c r="B38" s="4"/>
      <c r="C38" s="4" t="s">
        <v>72</v>
      </c>
      <c r="D38" s="4" t="s">
        <v>116</v>
      </c>
      <c r="E38" s="4" t="s">
        <v>139</v>
      </c>
      <c r="F38" s="13">
        <v>71</v>
      </c>
      <c r="G38" s="13"/>
      <c r="H38" s="13">
        <f>F38*G38*0.868217899115398</f>
        <v>0</v>
      </c>
      <c r="I38" s="13">
        <f>F38*G38*(1-0.868217899115398)</f>
        <v>0</v>
      </c>
      <c r="J38" s="13">
        <f t="shared" si="0"/>
        <v>0</v>
      </c>
      <c r="K38" s="13">
        <v>0.0297</v>
      </c>
      <c r="L38" s="13">
        <f t="shared" si="5"/>
        <v>2.1087000000000002</v>
      </c>
    </row>
    <row r="39" spans="1:12" ht="12.75">
      <c r="A39" s="4" t="s">
        <v>31</v>
      </c>
      <c r="B39" s="4"/>
      <c r="C39" s="4" t="s">
        <v>73</v>
      </c>
      <c r="D39" s="4" t="s">
        <v>117</v>
      </c>
      <c r="E39" s="4" t="s">
        <v>137</v>
      </c>
      <c r="F39" s="13">
        <v>5</v>
      </c>
      <c r="G39" s="13"/>
      <c r="H39" s="13">
        <f>F39*G39*1</f>
        <v>0</v>
      </c>
      <c r="I39" s="13">
        <f>F39*G39*(1-1)</f>
        <v>0</v>
      </c>
      <c r="J39" s="13">
        <f t="shared" si="0"/>
        <v>0</v>
      </c>
      <c r="K39" s="13">
        <v>0.55</v>
      </c>
      <c r="L39" s="13">
        <f t="shared" si="5"/>
        <v>2.75</v>
      </c>
    </row>
    <row r="40" spans="1:12" ht="12.75">
      <c r="A40" s="4" t="s">
        <v>32</v>
      </c>
      <c r="B40" s="4"/>
      <c r="C40" s="4" t="s">
        <v>74</v>
      </c>
      <c r="D40" s="4" t="s">
        <v>118</v>
      </c>
      <c r="E40" s="4" t="s">
        <v>137</v>
      </c>
      <c r="F40" s="13">
        <v>2</v>
      </c>
      <c r="G40" s="13"/>
      <c r="H40" s="13">
        <f>F40*G40*1</f>
        <v>0</v>
      </c>
      <c r="I40" s="13">
        <f>F40*G40*(1-1)</f>
        <v>0</v>
      </c>
      <c r="J40" s="13">
        <f t="shared" si="0"/>
        <v>0</v>
      </c>
      <c r="K40" s="13">
        <v>0.55</v>
      </c>
      <c r="L40" s="13">
        <f t="shared" si="5"/>
        <v>1.1</v>
      </c>
    </row>
    <row r="41" spans="1:12" ht="12.75">
      <c r="A41" s="4" t="s">
        <v>33</v>
      </c>
      <c r="B41" s="4"/>
      <c r="C41" s="4" t="s">
        <v>75</v>
      </c>
      <c r="D41" s="4" t="s">
        <v>119</v>
      </c>
      <c r="E41" s="4" t="s">
        <v>137</v>
      </c>
      <c r="F41" s="13">
        <v>3</v>
      </c>
      <c r="G41" s="13"/>
      <c r="H41" s="13">
        <f>F41*G41*0.680860699341479</f>
        <v>0</v>
      </c>
      <c r="I41" s="13">
        <f>F41*G41*(1-0.680860699341479)</f>
        <v>0</v>
      </c>
      <c r="J41" s="13">
        <f t="shared" si="0"/>
        <v>0</v>
      </c>
      <c r="K41" s="13">
        <v>2.96293</v>
      </c>
      <c r="L41" s="13">
        <f t="shared" si="5"/>
        <v>8.88879</v>
      </c>
    </row>
    <row r="42" spans="1:12" ht="12.75">
      <c r="A42" s="4" t="s">
        <v>34</v>
      </c>
      <c r="B42" s="4"/>
      <c r="C42" s="4" t="s">
        <v>64</v>
      </c>
      <c r="D42" s="4" t="s">
        <v>120</v>
      </c>
      <c r="E42" s="4" t="s">
        <v>139</v>
      </c>
      <c r="F42" s="13">
        <v>120</v>
      </c>
      <c r="G42" s="13"/>
      <c r="H42" s="13">
        <f>F42*G42*0.660072473493491</f>
        <v>0</v>
      </c>
      <c r="I42" s="13">
        <f>F42*G42*(1-0.660072473493491)</f>
        <v>0</v>
      </c>
      <c r="J42" s="13">
        <f t="shared" si="0"/>
        <v>0</v>
      </c>
      <c r="K42" s="13">
        <v>0.54</v>
      </c>
      <c r="L42" s="13">
        <f t="shared" si="5"/>
        <v>64.80000000000001</v>
      </c>
    </row>
    <row r="43" spans="1:12" ht="12.75">
      <c r="A43" s="4" t="s">
        <v>35</v>
      </c>
      <c r="B43" s="4"/>
      <c r="C43" s="4" t="s">
        <v>76</v>
      </c>
      <c r="D43" s="4" t="s">
        <v>121</v>
      </c>
      <c r="E43" s="4" t="s">
        <v>138</v>
      </c>
      <c r="F43" s="13">
        <v>0.3</v>
      </c>
      <c r="G43" s="13"/>
      <c r="H43" s="13">
        <f>F43*G43*0.831615263758773</f>
        <v>0</v>
      </c>
      <c r="I43" s="13">
        <f>F43*G43*(1-0.831615263758773)</f>
        <v>0</v>
      </c>
      <c r="J43" s="13">
        <f t="shared" si="0"/>
        <v>0</v>
      </c>
      <c r="K43" s="13">
        <v>1.09709</v>
      </c>
      <c r="L43" s="13">
        <f t="shared" si="5"/>
        <v>0.32912699999999995</v>
      </c>
    </row>
    <row r="44" spans="1:12" ht="12.75">
      <c r="A44" s="4" t="s">
        <v>36</v>
      </c>
      <c r="B44" s="4"/>
      <c r="C44" s="4" t="s">
        <v>77</v>
      </c>
      <c r="D44" s="4" t="s">
        <v>122</v>
      </c>
      <c r="E44" s="4" t="s">
        <v>137</v>
      </c>
      <c r="F44" s="13">
        <v>7</v>
      </c>
      <c r="G44" s="13"/>
      <c r="H44" s="13">
        <f>F44*G44*0.608498309995171</f>
        <v>0</v>
      </c>
      <c r="I44" s="13">
        <f>F44*G44*(1-0.608498309995171)</f>
        <v>0</v>
      </c>
      <c r="J44" s="13">
        <f t="shared" si="0"/>
        <v>0</v>
      </c>
      <c r="K44" s="13">
        <v>1.837</v>
      </c>
      <c r="L44" s="13">
        <f t="shared" si="5"/>
        <v>12.859</v>
      </c>
    </row>
    <row r="45" spans="1:12" ht="12.75">
      <c r="A45" s="4" t="s">
        <v>37</v>
      </c>
      <c r="B45" s="4"/>
      <c r="C45" s="4" t="s">
        <v>78</v>
      </c>
      <c r="D45" s="4" t="s">
        <v>123</v>
      </c>
      <c r="E45" s="4" t="s">
        <v>140</v>
      </c>
      <c r="F45" s="13">
        <v>70</v>
      </c>
      <c r="G45" s="13"/>
      <c r="H45" s="13">
        <f>F45*G45*0.322549291863371</f>
        <v>0</v>
      </c>
      <c r="I45" s="13">
        <f>F45*G45*(1-0.322549291863371)</f>
        <v>0</v>
      </c>
      <c r="J45" s="13">
        <f t="shared" si="0"/>
        <v>0</v>
      </c>
      <c r="K45" s="13">
        <v>0.0899</v>
      </c>
      <c r="L45" s="13">
        <f t="shared" si="5"/>
        <v>6.292999999999999</v>
      </c>
    </row>
    <row r="46" spans="1:12" ht="12.75">
      <c r="A46" s="4" t="s">
        <v>38</v>
      </c>
      <c r="B46" s="4"/>
      <c r="C46" s="4" t="s">
        <v>79</v>
      </c>
      <c r="D46" s="4" t="s">
        <v>124</v>
      </c>
      <c r="E46" s="4" t="s">
        <v>142</v>
      </c>
      <c r="F46" s="13">
        <v>10</v>
      </c>
      <c r="G46" s="13"/>
      <c r="H46" s="13">
        <f>F46*G46*1</f>
        <v>0</v>
      </c>
      <c r="I46" s="13">
        <f>F46*G46*(1-1)</f>
        <v>0</v>
      </c>
      <c r="J46" s="13">
        <f t="shared" si="0"/>
        <v>0</v>
      </c>
      <c r="K46" s="13">
        <v>0</v>
      </c>
      <c r="L46" s="13">
        <f t="shared" si="5"/>
        <v>0</v>
      </c>
    </row>
    <row r="47" spans="1:12" ht="12.75">
      <c r="A47" s="4" t="s">
        <v>39</v>
      </c>
      <c r="B47" s="4"/>
      <c r="C47" s="4" t="s">
        <v>80</v>
      </c>
      <c r="D47" s="100" t="s">
        <v>125</v>
      </c>
      <c r="E47" s="100" t="s">
        <v>141</v>
      </c>
      <c r="F47" s="101">
        <v>1</v>
      </c>
      <c r="G47" s="101"/>
      <c r="H47" s="101"/>
      <c r="I47" s="101"/>
      <c r="J47" s="101"/>
      <c r="K47" s="101">
        <v>0.057</v>
      </c>
      <c r="L47" s="101">
        <f t="shared" si="5"/>
        <v>0.057</v>
      </c>
    </row>
    <row r="48" spans="1:12" ht="12.75">
      <c r="A48" s="4" t="s">
        <v>40</v>
      </c>
      <c r="B48" s="4"/>
      <c r="C48" s="4" t="s">
        <v>65</v>
      </c>
      <c r="D48" s="4" t="s">
        <v>126</v>
      </c>
      <c r="E48" s="4" t="s">
        <v>138</v>
      </c>
      <c r="F48" s="13">
        <v>140</v>
      </c>
      <c r="G48" s="13"/>
      <c r="H48" s="13">
        <f>F48*G48*0</f>
        <v>0</v>
      </c>
      <c r="I48" s="13">
        <f>F48*G48*(1-0)</f>
        <v>0</v>
      </c>
      <c r="J48" s="13">
        <f t="shared" si="0"/>
        <v>0</v>
      </c>
      <c r="K48" s="13">
        <v>0</v>
      </c>
      <c r="L48" s="13">
        <f t="shared" si="5"/>
        <v>0</v>
      </c>
    </row>
    <row r="49" spans="1:12" ht="12.75">
      <c r="A49" s="5"/>
      <c r="B49" s="5"/>
      <c r="C49" s="11" t="s">
        <v>81</v>
      </c>
      <c r="D49" s="98" t="s">
        <v>127</v>
      </c>
      <c r="E49" s="99"/>
      <c r="F49" s="99"/>
      <c r="G49" s="99"/>
      <c r="H49" s="25">
        <f>SUM(H50:H53)</f>
        <v>0</v>
      </c>
      <c r="I49" s="25">
        <f>SUM(I50:I53)</f>
        <v>0</v>
      </c>
      <c r="J49" s="25">
        <f t="shared" si="0"/>
        <v>0</v>
      </c>
      <c r="K49" s="21"/>
      <c r="L49" s="25">
        <f>SUM(L50:L53)</f>
        <v>3.7949200000000003</v>
      </c>
    </row>
    <row r="50" spans="1:12" ht="12.75">
      <c r="A50" s="4" t="s">
        <v>41</v>
      </c>
      <c r="B50" s="4"/>
      <c r="C50" s="4" t="s">
        <v>82</v>
      </c>
      <c r="D50" s="4" t="s">
        <v>128</v>
      </c>
      <c r="E50" s="4" t="s">
        <v>143</v>
      </c>
      <c r="F50" s="13">
        <v>3582</v>
      </c>
      <c r="G50" s="13"/>
      <c r="H50" s="13">
        <f>F50*G50*0.206558612891067</f>
        <v>0</v>
      </c>
      <c r="I50" s="13">
        <f>F50*G50*(1-0.206558612891067)</f>
        <v>0</v>
      </c>
      <c r="J50" s="13">
        <f t="shared" si="0"/>
        <v>0</v>
      </c>
      <c r="K50" s="13">
        <v>5E-05</v>
      </c>
      <c r="L50" s="13">
        <f>F50*K50</f>
        <v>0.1791</v>
      </c>
    </row>
    <row r="51" spans="1:12" ht="12.75">
      <c r="A51" s="4" t="s">
        <v>42</v>
      </c>
      <c r="B51" s="4"/>
      <c r="C51" s="4" t="s">
        <v>83</v>
      </c>
      <c r="D51" s="4" t="s">
        <v>129</v>
      </c>
      <c r="E51" s="4" t="s">
        <v>142</v>
      </c>
      <c r="F51" s="13">
        <v>3.58</v>
      </c>
      <c r="G51" s="13"/>
      <c r="H51" s="13">
        <f>F51*G51*1</f>
        <v>0</v>
      </c>
      <c r="I51" s="13">
        <f>F51*G51*(1-1)</f>
        <v>0</v>
      </c>
      <c r="J51" s="13">
        <f t="shared" si="0"/>
        <v>0</v>
      </c>
      <c r="K51" s="13">
        <v>1</v>
      </c>
      <c r="L51" s="13">
        <f>F51*K51</f>
        <v>3.58</v>
      </c>
    </row>
    <row r="52" spans="1:12" ht="12.75">
      <c r="A52" s="4" t="s">
        <v>43</v>
      </c>
      <c r="B52" s="4"/>
      <c r="C52" s="4" t="s">
        <v>84</v>
      </c>
      <c r="D52" s="4" t="s">
        <v>130</v>
      </c>
      <c r="E52" s="4" t="s">
        <v>143</v>
      </c>
      <c r="F52" s="13">
        <v>3582</v>
      </c>
      <c r="G52" s="13"/>
      <c r="H52" s="13">
        <f>F52*G52*0.5</f>
        <v>0</v>
      </c>
      <c r="I52" s="13">
        <f>F52*G52*(1-0.5)</f>
        <v>0</v>
      </c>
      <c r="J52" s="13">
        <f t="shared" si="0"/>
        <v>0</v>
      </c>
      <c r="K52" s="13">
        <v>1E-05</v>
      </c>
      <c r="L52" s="13">
        <f>F52*K52</f>
        <v>0.035820000000000005</v>
      </c>
    </row>
    <row r="53" spans="1:12" ht="12.75">
      <c r="A53" s="6" t="s">
        <v>44</v>
      </c>
      <c r="B53" s="6"/>
      <c r="C53" s="6" t="s">
        <v>85</v>
      </c>
      <c r="D53" s="6" t="s">
        <v>131</v>
      </c>
      <c r="E53" s="6" t="s">
        <v>138</v>
      </c>
      <c r="F53" s="14">
        <v>3.58</v>
      </c>
      <c r="G53" s="14"/>
      <c r="H53" s="14">
        <f>F53*G53*0</f>
        <v>0</v>
      </c>
      <c r="I53" s="14">
        <f>F53*G53*(1-0)</f>
        <v>0</v>
      </c>
      <c r="J53" s="14">
        <f t="shared" si="0"/>
        <v>0</v>
      </c>
      <c r="K53" s="14">
        <v>0</v>
      </c>
      <c r="L53" s="14">
        <f>F53*K53</f>
        <v>0</v>
      </c>
    </row>
    <row r="54" spans="1:12" ht="12.75">
      <c r="A54" s="7"/>
      <c r="B54" s="7"/>
      <c r="C54" s="7"/>
      <c r="D54" s="7"/>
      <c r="E54" s="7"/>
      <c r="F54" s="7"/>
      <c r="G54" s="7"/>
      <c r="H54" s="57" t="s">
        <v>149</v>
      </c>
      <c r="I54" s="58"/>
      <c r="J54" s="26">
        <f>J12+J23+J32+J49</f>
        <v>0</v>
      </c>
      <c r="K54" s="7"/>
      <c r="L54" s="7"/>
    </row>
  </sheetData>
  <sheetProtection/>
  <mergeCells count="32">
    <mergeCell ref="H54:I54"/>
    <mergeCell ref="H10:J10"/>
    <mergeCell ref="K10:L10"/>
    <mergeCell ref="D12:G12"/>
    <mergeCell ref="D23:G23"/>
    <mergeCell ref="D32:G32"/>
    <mergeCell ref="D49:G49"/>
    <mergeCell ref="I2:I3"/>
    <mergeCell ref="I4:I5"/>
    <mergeCell ref="I6:I7"/>
    <mergeCell ref="I8:I9"/>
    <mergeCell ref="J2:L3"/>
    <mergeCell ref="J4:L5"/>
    <mergeCell ref="J6:L7"/>
    <mergeCell ref="J8:L9"/>
    <mergeCell ref="E4:F5"/>
    <mergeCell ref="E6:F7"/>
    <mergeCell ref="E8:F9"/>
    <mergeCell ref="G2:H3"/>
    <mergeCell ref="G4:H5"/>
    <mergeCell ref="G6:H7"/>
    <mergeCell ref="G8:H9"/>
    <mergeCell ref="A1:L1"/>
    <mergeCell ref="A2:C3"/>
    <mergeCell ref="A4:C5"/>
    <mergeCell ref="A6:C7"/>
    <mergeCell ref="A8:C9"/>
    <mergeCell ref="D2:D3"/>
    <mergeCell ref="D4:D5"/>
    <mergeCell ref="D6:D7"/>
    <mergeCell ref="D8:D9"/>
    <mergeCell ref="E2:F3"/>
  </mergeCell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</cp:lastModifiedBy>
  <cp:lastPrinted>2014-01-03T22:18:02Z</cp:lastPrinted>
  <dcterms:created xsi:type="dcterms:W3CDTF">2013-12-27T11:31:24Z</dcterms:created>
  <dcterms:modified xsi:type="dcterms:W3CDTF">2014-11-12T11:03:31Z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